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20" windowWidth="5355" windowHeight="4680" tabRatio="766" activeTab="19"/>
  </bookViews>
  <sheets>
    <sheet name="計算" sheetId="16" r:id="rId1"/>
    <sheet name="基本ステータス" sheetId="12" r:id="rId2"/>
    <sheet name="経験値管理表" sheetId="19" r:id="rId3"/>
    <sheet name="補助シート" sheetId="17" state="hidden" r:id="rId4"/>
    <sheet name="装備" sheetId="1" state="hidden" r:id="rId5"/>
    <sheet name="耐性" sheetId="3" state="hidden" r:id="rId6"/>
    <sheet name="敵特技" sheetId="18" state="hidden" r:id="rId7"/>
    <sheet name="味方特技" sheetId="11" state="hidden" r:id="rId8"/>
    <sheet name="主人公" sheetId="2" state="hidden" r:id="rId9"/>
    <sheet name="ハッサン" sheetId="4" state="hidden" r:id="rId10"/>
    <sheet name="ミレーユ" sheetId="5" state="hidden" r:id="rId11"/>
    <sheet name="バーバラ" sheetId="6" state="hidden" r:id="rId12"/>
    <sheet name="チャモロ" sheetId="7" state="hidden" r:id="rId13"/>
    <sheet name="アモス" sheetId="8" state="hidden" r:id="rId14"/>
    <sheet name="テリー" sheetId="9" state="hidden" r:id="rId15"/>
    <sheet name="ドランゴ" sheetId="10" state="hidden" r:id="rId16"/>
    <sheet name="ボス" sheetId="13" state="hidden" r:id="rId17"/>
    <sheet name="キャラリスト" sheetId="14" state="hidden" r:id="rId18"/>
    <sheet name="職業" sheetId="15" state="hidden" r:id="rId19"/>
    <sheet name="初めにお読み下さい" sheetId="20" r:id="rId20"/>
  </sheets>
  <externalReferences>
    <externalReference r:id="rId21"/>
  </externalReferences>
  <definedNames>
    <definedName name="○×">補助シート!$F$53:$F$54</definedName>
    <definedName name="ID">補助シート!$B$6:$C$105</definedName>
    <definedName name="Noリスト">補助シート!$C$6:$C$105</definedName>
    <definedName name="アモスExp">アモス!$J$4:$J$33</definedName>
    <definedName name="キャラデータ">キャラリスト!$B$3:$Y$30</definedName>
    <definedName name="キャラデータカラム">キャラリスト!$C$3:$Y$3</definedName>
    <definedName name="キャラリスト">キャラリスト!$B$4:$B$30</definedName>
    <definedName name="チャモロExp">チャモロ!$J$4:$J$33</definedName>
    <definedName name="テリーExp">テリー!$J$4:$J$33</definedName>
    <definedName name="ドランゴExp">ドランゴ!$J$4:$J$13</definedName>
    <definedName name="バーバラExp">バーバラ!$J$4:$J$33</definedName>
    <definedName name="ハッサンExp">ハッサン!$J$4:$J$33</definedName>
    <definedName name="バリア">補助シート!$F$40:$F$42</definedName>
    <definedName name="ボス">ボス!$B$4:$W$83</definedName>
    <definedName name="ボスリスト">ボス!$B$4:$B$83</definedName>
    <definedName name="ボス名">[1]ボス!$A$1:$A$200</definedName>
    <definedName name="ミレーユExp">ミレーユ!$J$4:$J$33</definedName>
    <definedName name="鎧">装備!$E$3:$F$51</definedName>
    <definedName name="鎧リスト">装備!$E$3:$E$51</definedName>
    <definedName name="兜">装備!$K$3:$L$24</definedName>
    <definedName name="兜リスト">装備!$K$3:$K$24</definedName>
    <definedName name="貫通力">耐性!$L$2:$P$8</definedName>
    <definedName name="貫通力段階">耐性!$L$4:$L$6</definedName>
    <definedName name="主人公Exp">主人公!$J$4:$J$33</definedName>
    <definedName name="主人公HP">主人公!$C:$C</definedName>
    <definedName name="守備">補助シート!$F$20:$F$32</definedName>
    <definedName name="盾">[1]装備!$G$1:$G$24</definedName>
    <definedName name="盾リスト">装備!$H$3:$H$21</definedName>
    <definedName name="職業">職業!$B$4:$G$22</definedName>
    <definedName name="職業リスト">職業!$B$4:$B$22</definedName>
    <definedName name="戦闘IDリスト">補助シート!$B$6:$B$105</definedName>
    <definedName name="装飾品A">装備!$N$3:$O$13</definedName>
    <definedName name="装飾品Aリスト">装備!$N$3:$N$13</definedName>
    <definedName name="装飾品B">装備!$Q$3:$R$5</definedName>
    <definedName name="装飾品Bリスト">装備!$Q$3:$Q$5</definedName>
    <definedName name="装飾品C">装備!$T$3:$U$5</definedName>
    <definedName name="装飾品Cリスト">装備!$T$3:$T$5</definedName>
    <definedName name="耐性">耐性!$B$3:$J$27</definedName>
    <definedName name="耐性装備リスト">耐性!$B$3:$B$27</definedName>
    <definedName name="隊列">補助シート!$F$10:$F$17</definedName>
    <definedName name="隊列2">補助シート!$F$10:$F$13</definedName>
    <definedName name="敵ステータス">計算!$B$4:$K$11</definedName>
    <definedName name="敵リスト">計算!$B$4:$T$11</definedName>
    <definedName name="敵技">敵特技!$B$4:$L$74</definedName>
    <definedName name="敵技リスト">敵特技!$B$4:$B$74</definedName>
    <definedName name="敵耐性">計算!$M$3:$T$11</definedName>
    <definedName name="敵耐性カラム">計算!$M$3:$T$3</definedName>
    <definedName name="敵隊列">敵特技!$I$3:$L$74</definedName>
    <definedName name="特技名">[1]特技!$A$1:$A$100</definedName>
    <definedName name="武器">装備!$B$3:$C$67</definedName>
    <definedName name="武器リスト">装備!$B$3:$B$67</definedName>
    <definedName name="防御">補助シート!$F$35:$F$37</definedName>
    <definedName name="味方ステータス">計算!$AA$4:$AH$11</definedName>
    <definedName name="味方技">味方特技!$B$4:$P$20</definedName>
    <definedName name="味方技リスト">味方特技!$B$4:$B$20</definedName>
    <definedName name="味方耐性">計算!$AI$3:$AP$11</definedName>
    <definedName name="味方隊列">味方特技!$I$3:$P$20</definedName>
    <definedName name="有無">補助シート!$F$6:$F$7</definedName>
  </definedNames>
  <calcPr calcId="145621"/>
</workbook>
</file>

<file path=xl/calcChain.xml><?xml version="1.0" encoding="utf-8"?>
<calcChain xmlns="http://schemas.openxmlformats.org/spreadsheetml/2006/main">
  <c r="I14" i="19" l="1"/>
  <c r="C14" i="19"/>
  <c r="C15" i="19"/>
  <c r="C16" i="19"/>
  <c r="C17" i="19"/>
  <c r="C18" i="19"/>
  <c r="C19" i="19"/>
  <c r="C20" i="19"/>
  <c r="C21" i="19"/>
  <c r="C22" i="19"/>
  <c r="C24" i="19"/>
  <c r="C25" i="19"/>
  <c r="C26" i="19"/>
  <c r="C27" i="19"/>
  <c r="C28" i="19"/>
  <c r="C29" i="19"/>
  <c r="C30" i="19"/>
  <c r="C31" i="19"/>
  <c r="C32" i="19"/>
  <c r="C33" i="19"/>
  <c r="C34" i="19"/>
  <c r="C35" i="19"/>
  <c r="C36" i="19"/>
  <c r="C37" i="19"/>
  <c r="C38" i="19"/>
  <c r="C39" i="19"/>
  <c r="C40" i="19"/>
  <c r="C41" i="19"/>
  <c r="C43" i="19"/>
  <c r="C44" i="19"/>
  <c r="C45" i="19"/>
  <c r="C46" i="19"/>
  <c r="C47" i="19"/>
  <c r="C48" i="19"/>
  <c r="C49" i="19"/>
  <c r="C50" i="19"/>
  <c r="C51" i="19"/>
  <c r="C53" i="19"/>
  <c r="C54" i="19"/>
  <c r="C55" i="19"/>
  <c r="C56" i="19"/>
  <c r="C57" i="19"/>
  <c r="C58" i="19"/>
  <c r="C12" i="19"/>
  <c r="C13" i="19"/>
  <c r="C11" i="19"/>
  <c r="T5" i="19" l="1"/>
  <c r="AM4" i="19"/>
  <c r="AH4" i="19"/>
  <c r="AC4" i="19"/>
  <c r="X4" i="19"/>
  <c r="S4" i="19"/>
  <c r="N4" i="19"/>
  <c r="I4" i="19"/>
  <c r="D4" i="19"/>
  <c r="E5" i="19"/>
  <c r="J5" i="19"/>
  <c r="I5" i="19" s="1"/>
  <c r="O5" i="19"/>
  <c r="N5" i="19" s="1"/>
  <c r="S5" i="19"/>
  <c r="Y5" i="19"/>
  <c r="X5" i="19" s="1"/>
  <c r="AD5" i="19"/>
  <c r="AC5" i="19" s="1"/>
  <c r="AI5" i="19"/>
  <c r="AH5" i="19" s="1"/>
  <c r="AN5" i="19"/>
  <c r="AM5" i="19" s="1"/>
  <c r="C6" i="19"/>
  <c r="C8" i="19"/>
  <c r="C10" i="19"/>
  <c r="C59" i="19"/>
  <c r="C60" i="19"/>
  <c r="U5" i="19"/>
  <c r="L5" i="19"/>
  <c r="V5" i="19"/>
  <c r="K5" i="19"/>
  <c r="AP5" i="19"/>
  <c r="AA5" i="19"/>
  <c r="AK5" i="19"/>
  <c r="AF5" i="19"/>
  <c r="Z5" i="19"/>
  <c r="E6" i="19" l="1"/>
  <c r="E7" i="19" s="1"/>
  <c r="D5" i="19"/>
  <c r="J6" i="19"/>
  <c r="O6" i="19"/>
  <c r="N6" i="19" s="1"/>
  <c r="T6" i="19"/>
  <c r="S6" i="19" s="1"/>
  <c r="Y6" i="19"/>
  <c r="AD6" i="19"/>
  <c r="AC6" i="19" s="1"/>
  <c r="AI6" i="19"/>
  <c r="AN6" i="19"/>
  <c r="AO5" i="19"/>
  <c r="AJ5" i="19"/>
  <c r="U6" i="19"/>
  <c r="P5" i="19"/>
  <c r="Q5" i="19"/>
  <c r="Q6" i="19"/>
  <c r="AE5" i="19"/>
  <c r="V6" i="19"/>
  <c r="P6" i="19"/>
  <c r="G5" i="19"/>
  <c r="AE6" i="19"/>
  <c r="AF6" i="19"/>
  <c r="E8" i="19" l="1"/>
  <c r="I6" i="19"/>
  <c r="AM6" i="19"/>
  <c r="AH6" i="19"/>
  <c r="X6" i="19"/>
  <c r="D6" i="19"/>
  <c r="AI7" i="19"/>
  <c r="J7" i="19"/>
  <c r="T7" i="19"/>
  <c r="O7" i="19"/>
  <c r="Y7" i="19"/>
  <c r="AD7" i="19"/>
  <c r="AN7" i="19"/>
  <c r="AA6" i="19"/>
  <c r="Z6" i="19"/>
  <c r="K6" i="19"/>
  <c r="G6" i="19"/>
  <c r="AK6" i="19"/>
  <c r="F6" i="19"/>
  <c r="L6" i="19"/>
  <c r="AJ6" i="19"/>
  <c r="AP6" i="19"/>
  <c r="F5" i="19"/>
  <c r="AO6" i="19"/>
  <c r="E9" i="19" l="1"/>
  <c r="I7" i="19"/>
  <c r="AM7" i="19"/>
  <c r="AC7" i="19"/>
  <c r="AH7" i="19"/>
  <c r="AI8" i="19"/>
  <c r="X7" i="19"/>
  <c r="T8" i="19"/>
  <c r="S7" i="19"/>
  <c r="N7" i="19"/>
  <c r="D7" i="19"/>
  <c r="J8" i="19"/>
  <c r="O8" i="19"/>
  <c r="Y8" i="19"/>
  <c r="AD8" i="19"/>
  <c r="AI9" i="19"/>
  <c r="AN8" i="19"/>
  <c r="AP7" i="19"/>
  <c r="AF7" i="19"/>
  <c r="L7" i="19"/>
  <c r="V7" i="19"/>
  <c r="U7" i="19"/>
  <c r="F7" i="19"/>
  <c r="Z7" i="19"/>
  <c r="AA7" i="19"/>
  <c r="AJ7" i="19"/>
  <c r="G7" i="19"/>
  <c r="P7" i="19"/>
  <c r="AE7" i="19"/>
  <c r="K7" i="19"/>
  <c r="AK7" i="19"/>
  <c r="AO7" i="19"/>
  <c r="Q7" i="19"/>
  <c r="E10" i="19" l="1"/>
  <c r="E11" i="19" s="1"/>
  <c r="T9" i="19"/>
  <c r="I8" i="19"/>
  <c r="AM8" i="19"/>
  <c r="AC8" i="19"/>
  <c r="AH9" i="19"/>
  <c r="AH8" i="19"/>
  <c r="X8" i="19"/>
  <c r="S8" i="19"/>
  <c r="N8" i="19"/>
  <c r="D8" i="19"/>
  <c r="J9" i="19"/>
  <c r="O9" i="19"/>
  <c r="T10" i="19"/>
  <c r="Y9" i="19"/>
  <c r="AD9" i="19"/>
  <c r="AI10" i="19"/>
  <c r="AN9" i="19"/>
  <c r="AO8" i="19"/>
  <c r="AP8" i="19"/>
  <c r="AK8" i="19"/>
  <c r="AJ8" i="19"/>
  <c r="Q8" i="19"/>
  <c r="F8" i="19"/>
  <c r="AA8" i="19"/>
  <c r="L8" i="19"/>
  <c r="AJ9" i="19"/>
  <c r="AK9" i="19"/>
  <c r="P8" i="19"/>
  <c r="Z8" i="19"/>
  <c r="K8" i="19"/>
  <c r="G8" i="19"/>
  <c r="U8" i="19"/>
  <c r="V8" i="19"/>
  <c r="AE8" i="19"/>
  <c r="AF8" i="19"/>
  <c r="S9" i="19" l="1"/>
  <c r="I9" i="19"/>
  <c r="AM9" i="19"/>
  <c r="AC9" i="19"/>
  <c r="AH10" i="19"/>
  <c r="X9" i="19"/>
  <c r="S10" i="19"/>
  <c r="N9" i="19"/>
  <c r="D9" i="19"/>
  <c r="J10" i="19"/>
  <c r="O10" i="19"/>
  <c r="T11" i="19"/>
  <c r="Y10" i="19"/>
  <c r="AD10" i="19"/>
  <c r="AI11" i="19"/>
  <c r="AN10" i="19"/>
  <c r="V9" i="19"/>
  <c r="K9" i="19"/>
  <c r="L9" i="19"/>
  <c r="AK10" i="19"/>
  <c r="AP9" i="19"/>
  <c r="V10" i="19"/>
  <c r="F9" i="19"/>
  <c r="AJ10" i="19"/>
  <c r="U9" i="19"/>
  <c r="AE9" i="19"/>
  <c r="AF9" i="19"/>
  <c r="AO9" i="19"/>
  <c r="AA9" i="19"/>
  <c r="G9" i="19"/>
  <c r="P9" i="19"/>
  <c r="Q9" i="19"/>
  <c r="U10" i="19"/>
  <c r="Z9" i="19"/>
  <c r="I10" i="19" l="1"/>
  <c r="AM10" i="19"/>
  <c r="AC10" i="19"/>
  <c r="AH11" i="19"/>
  <c r="X10" i="19"/>
  <c r="S11" i="19"/>
  <c r="N10" i="19"/>
  <c r="D10" i="19"/>
  <c r="J11" i="19"/>
  <c r="O11" i="19"/>
  <c r="T12" i="19"/>
  <c r="Y11" i="19"/>
  <c r="AD11" i="19"/>
  <c r="AI12" i="19"/>
  <c r="AN11" i="19"/>
  <c r="G10" i="19"/>
  <c r="P10" i="19"/>
  <c r="Q10" i="19"/>
  <c r="U11" i="19"/>
  <c r="F10" i="19"/>
  <c r="K10" i="19"/>
  <c r="L10" i="19"/>
  <c r="AK11" i="19"/>
  <c r="AP10" i="19"/>
  <c r="Z10" i="19"/>
  <c r="AE10" i="19"/>
  <c r="AF10" i="19"/>
  <c r="AO10" i="19"/>
  <c r="V11" i="19"/>
  <c r="AA10" i="19"/>
  <c r="AJ11" i="19"/>
  <c r="I11" i="19" l="1"/>
  <c r="AM11" i="19"/>
  <c r="AC11" i="19"/>
  <c r="AH12" i="19"/>
  <c r="X11" i="19"/>
  <c r="S12" i="19"/>
  <c r="N11" i="19"/>
  <c r="J12" i="19"/>
  <c r="O12" i="19"/>
  <c r="T13" i="19"/>
  <c r="Y12" i="19"/>
  <c r="AD12" i="19"/>
  <c r="AI13" i="19"/>
  <c r="AN12" i="19"/>
  <c r="Z11" i="19"/>
  <c r="AA11" i="19"/>
  <c r="U12" i="19"/>
  <c r="AE11" i="19"/>
  <c r="P11" i="19"/>
  <c r="Q11" i="19"/>
  <c r="AP11" i="19"/>
  <c r="AF11" i="19"/>
  <c r="K11" i="19"/>
  <c r="L11" i="19"/>
  <c r="AO11" i="19"/>
  <c r="AK12" i="19"/>
  <c r="AJ12" i="19"/>
  <c r="V12" i="19"/>
  <c r="I12" i="19" l="1"/>
  <c r="AM12" i="19"/>
  <c r="AC12" i="19"/>
  <c r="AH13" i="19"/>
  <c r="X12" i="19"/>
  <c r="S13" i="19"/>
  <c r="N12" i="19"/>
  <c r="J13" i="19"/>
  <c r="O13" i="19"/>
  <c r="T14" i="19"/>
  <c r="Y13" i="19"/>
  <c r="AD13" i="19"/>
  <c r="AI14" i="19"/>
  <c r="AN13" i="19"/>
  <c r="Z12" i="19"/>
  <c r="AA12" i="19"/>
  <c r="AJ13" i="19"/>
  <c r="U13" i="19"/>
  <c r="L12" i="19"/>
  <c r="AK13" i="19"/>
  <c r="P12" i="19"/>
  <c r="Q12" i="19"/>
  <c r="K12" i="19"/>
  <c r="AP12" i="19"/>
  <c r="AE12" i="19"/>
  <c r="AF12" i="19"/>
  <c r="AO12" i="19"/>
  <c r="V13" i="19"/>
  <c r="E12" i="19" l="1"/>
  <c r="I13" i="19"/>
  <c r="AM13" i="19"/>
  <c r="AC13" i="19"/>
  <c r="AH14" i="19"/>
  <c r="X13" i="19"/>
  <c r="S14" i="19"/>
  <c r="N13" i="19"/>
  <c r="J14" i="19"/>
  <c r="O14" i="19"/>
  <c r="T15" i="19"/>
  <c r="Y14" i="19"/>
  <c r="AD14" i="19"/>
  <c r="AI15" i="19"/>
  <c r="AN14" i="19"/>
  <c r="AE13" i="19"/>
  <c r="AF13" i="19"/>
  <c r="AO13" i="19"/>
  <c r="V14" i="19"/>
  <c r="AK14" i="19"/>
  <c r="Z13" i="19"/>
  <c r="AA13" i="19"/>
  <c r="AJ14" i="19"/>
  <c r="K13" i="19"/>
  <c r="P13" i="19"/>
  <c r="Q13" i="19"/>
  <c r="U14" i="19"/>
  <c r="L13" i="19"/>
  <c r="AP13" i="19"/>
  <c r="E13" i="19" l="1"/>
  <c r="D11" i="19"/>
  <c r="AM14" i="19"/>
  <c r="AC14" i="19"/>
  <c r="AH15" i="19"/>
  <c r="X14" i="19"/>
  <c r="S15" i="19"/>
  <c r="N14" i="19"/>
  <c r="J15" i="19"/>
  <c r="O15" i="19"/>
  <c r="T16" i="19"/>
  <c r="Y15" i="19"/>
  <c r="AD15" i="19"/>
  <c r="AI16" i="19"/>
  <c r="AN15" i="19"/>
  <c r="G11" i="19"/>
  <c r="P14" i="19"/>
  <c r="Q14" i="19"/>
  <c r="AP14" i="19"/>
  <c r="F11" i="19"/>
  <c r="K14" i="19"/>
  <c r="L14" i="19"/>
  <c r="AO14" i="19"/>
  <c r="AK15" i="19"/>
  <c r="Z14" i="19"/>
  <c r="AE14" i="19"/>
  <c r="AF14" i="19"/>
  <c r="AJ15" i="19"/>
  <c r="V15" i="19"/>
  <c r="AA14" i="19"/>
  <c r="U15" i="19"/>
  <c r="E14" i="19" l="1"/>
  <c r="D12" i="19"/>
  <c r="I15" i="19"/>
  <c r="AM15" i="19"/>
  <c r="AC15" i="19"/>
  <c r="AH16" i="19"/>
  <c r="X15" i="19"/>
  <c r="S16" i="19"/>
  <c r="N15" i="19"/>
  <c r="J16" i="19"/>
  <c r="O16" i="19"/>
  <c r="T17" i="19"/>
  <c r="Y16" i="19"/>
  <c r="AD16" i="19"/>
  <c r="AI17" i="19"/>
  <c r="AN16" i="19"/>
  <c r="F12" i="19"/>
  <c r="Z15" i="19"/>
  <c r="AA15" i="19"/>
  <c r="AJ16" i="19"/>
  <c r="AE15" i="19"/>
  <c r="G12" i="19"/>
  <c r="P15" i="19"/>
  <c r="Q15" i="19"/>
  <c r="U16" i="19"/>
  <c r="AO15" i="19"/>
  <c r="K15" i="19"/>
  <c r="L15" i="19"/>
  <c r="AK16" i="19"/>
  <c r="AP15" i="19"/>
  <c r="AF15" i="19"/>
  <c r="V16" i="19"/>
  <c r="E15" i="19" l="1"/>
  <c r="D13" i="19"/>
  <c r="I16" i="19"/>
  <c r="AM16" i="19"/>
  <c r="AC16" i="19"/>
  <c r="AH17" i="19"/>
  <c r="X16" i="19"/>
  <c r="S17" i="19"/>
  <c r="N16" i="19"/>
  <c r="J17" i="19"/>
  <c r="O17" i="19"/>
  <c r="T18" i="19"/>
  <c r="Y17" i="19"/>
  <c r="AD17" i="19"/>
  <c r="AI18" i="19"/>
  <c r="AN17" i="19"/>
  <c r="F13" i="19"/>
  <c r="Z16" i="19"/>
  <c r="AA16" i="19"/>
  <c r="AJ17" i="19"/>
  <c r="AF16" i="19"/>
  <c r="G13" i="19"/>
  <c r="P16" i="19"/>
  <c r="Q16" i="19"/>
  <c r="U17" i="19"/>
  <c r="AO16" i="19"/>
  <c r="K16" i="19"/>
  <c r="L16" i="19"/>
  <c r="AK17" i="19"/>
  <c r="AP16" i="19"/>
  <c r="AE16" i="19"/>
  <c r="V17" i="19"/>
  <c r="E16" i="19" l="1"/>
  <c r="D14" i="19"/>
  <c r="I17" i="19"/>
  <c r="AM17" i="19"/>
  <c r="AC17" i="19"/>
  <c r="AH18" i="19"/>
  <c r="X17" i="19"/>
  <c r="S18" i="19"/>
  <c r="N17" i="19"/>
  <c r="J18" i="19"/>
  <c r="O18" i="19"/>
  <c r="T19" i="19"/>
  <c r="Y18" i="19"/>
  <c r="AD18" i="19"/>
  <c r="AI19" i="19"/>
  <c r="AN18" i="19"/>
  <c r="K17" i="19"/>
  <c r="L17" i="19"/>
  <c r="AO17" i="19"/>
  <c r="AK18" i="19"/>
  <c r="P17" i="19"/>
  <c r="AE17" i="19"/>
  <c r="AF17" i="19"/>
  <c r="AJ18" i="19"/>
  <c r="V18" i="19"/>
  <c r="Q17" i="19"/>
  <c r="G14" i="19"/>
  <c r="Z17" i="19"/>
  <c r="AA17" i="19"/>
  <c r="U18" i="19"/>
  <c r="F14" i="19"/>
  <c r="AP17" i="19"/>
  <c r="E17" i="19" l="1"/>
  <c r="D15" i="19"/>
  <c r="I18" i="19"/>
  <c r="AM18" i="19"/>
  <c r="AC18" i="19"/>
  <c r="AH19" i="19"/>
  <c r="X18" i="19"/>
  <c r="S19" i="19"/>
  <c r="N18" i="19"/>
  <c r="J19" i="19"/>
  <c r="O19" i="19"/>
  <c r="T20" i="19"/>
  <c r="Y19" i="19"/>
  <c r="AD19" i="19"/>
  <c r="AI20" i="19"/>
  <c r="AN19" i="19"/>
  <c r="K18" i="19"/>
  <c r="L18" i="19"/>
  <c r="AK19" i="19"/>
  <c r="AP18" i="19"/>
  <c r="V19" i="19"/>
  <c r="Z18" i="19"/>
  <c r="AJ19" i="19"/>
  <c r="AE18" i="19"/>
  <c r="AF18" i="19"/>
  <c r="AO18" i="19"/>
  <c r="AA18" i="19"/>
  <c r="P18" i="19"/>
  <c r="Q18" i="19"/>
  <c r="U19" i="19"/>
  <c r="G15" i="19"/>
  <c r="F15" i="19"/>
  <c r="E18" i="19" l="1"/>
  <c r="D16" i="19"/>
  <c r="I19" i="19"/>
  <c r="AM19" i="19"/>
  <c r="AC19" i="19"/>
  <c r="AH20" i="19"/>
  <c r="X19" i="19"/>
  <c r="S20" i="19"/>
  <c r="N19" i="19"/>
  <c r="J20" i="19"/>
  <c r="O20" i="19"/>
  <c r="T21" i="19"/>
  <c r="Y20" i="19"/>
  <c r="AD20" i="19"/>
  <c r="AI21" i="19"/>
  <c r="AN20" i="19"/>
  <c r="F16" i="19"/>
  <c r="Z19" i="19"/>
  <c r="AA19" i="19"/>
  <c r="AP19" i="19"/>
  <c r="Q19" i="19"/>
  <c r="K19" i="19"/>
  <c r="V20" i="19"/>
  <c r="G16" i="19"/>
  <c r="P19" i="19"/>
  <c r="AK20" i="19"/>
  <c r="L19" i="19"/>
  <c r="AE19" i="19"/>
  <c r="AF19" i="19"/>
  <c r="U20" i="19"/>
  <c r="AJ20" i="19"/>
  <c r="AO19" i="19"/>
  <c r="E19" i="19" l="1"/>
  <c r="D17" i="19"/>
  <c r="I20" i="19"/>
  <c r="AM20" i="19"/>
  <c r="AC20" i="19"/>
  <c r="AH21" i="19"/>
  <c r="X20" i="19"/>
  <c r="S21" i="19"/>
  <c r="N20" i="19"/>
  <c r="J21" i="19"/>
  <c r="O21" i="19"/>
  <c r="T22" i="19"/>
  <c r="Y21" i="19"/>
  <c r="AD21" i="19"/>
  <c r="AI22" i="19"/>
  <c r="AN21" i="19"/>
  <c r="F17" i="19"/>
  <c r="Z20" i="19"/>
  <c r="AA20" i="19"/>
  <c r="AJ21" i="19"/>
  <c r="Q20" i="19"/>
  <c r="K20" i="19"/>
  <c r="L20" i="19"/>
  <c r="G17" i="19"/>
  <c r="P20" i="19"/>
  <c r="U21" i="19"/>
  <c r="AP20" i="19"/>
  <c r="AE20" i="19"/>
  <c r="AF20" i="19"/>
  <c r="AO20" i="19"/>
  <c r="AK21" i="19"/>
  <c r="V21" i="19"/>
  <c r="E20" i="19" l="1"/>
  <c r="D18" i="19"/>
  <c r="I21" i="19"/>
  <c r="AM21" i="19"/>
  <c r="AC21" i="19"/>
  <c r="AH22" i="19"/>
  <c r="X21" i="19"/>
  <c r="S22" i="19"/>
  <c r="N21" i="19"/>
  <c r="J22" i="19"/>
  <c r="O22" i="19"/>
  <c r="T23" i="19"/>
  <c r="Y22" i="19"/>
  <c r="AD22" i="19"/>
  <c r="AI23" i="19"/>
  <c r="AN22" i="19"/>
  <c r="F18" i="19"/>
  <c r="Z21" i="19"/>
  <c r="AA21" i="19"/>
  <c r="AJ22" i="19"/>
  <c r="U22" i="19"/>
  <c r="L21" i="19"/>
  <c r="AP21" i="19"/>
  <c r="G18" i="19"/>
  <c r="P21" i="19"/>
  <c r="Q21" i="19"/>
  <c r="K21" i="19"/>
  <c r="AE21" i="19"/>
  <c r="AF21" i="19"/>
  <c r="AO21" i="19"/>
  <c r="V22" i="19"/>
  <c r="AK22" i="19"/>
  <c r="E21" i="19" l="1"/>
  <c r="D19" i="19"/>
  <c r="I22" i="19"/>
  <c r="AM22" i="19"/>
  <c r="AC22" i="19"/>
  <c r="AH23" i="19"/>
  <c r="X22" i="19"/>
  <c r="S23" i="19"/>
  <c r="N22" i="19"/>
  <c r="J23" i="19"/>
  <c r="O23" i="19"/>
  <c r="T24" i="19"/>
  <c r="Y23" i="19"/>
  <c r="AD23" i="19"/>
  <c r="AI24" i="19"/>
  <c r="AN23" i="19"/>
  <c r="G19" i="19"/>
  <c r="P22" i="19"/>
  <c r="Q22" i="19"/>
  <c r="AJ23" i="19"/>
  <c r="K22" i="19"/>
  <c r="L22" i="19"/>
  <c r="AK23" i="19"/>
  <c r="U23" i="19"/>
  <c r="AE22" i="19"/>
  <c r="AF22" i="19"/>
  <c r="V23" i="19"/>
  <c r="AP22" i="19"/>
  <c r="F19" i="19"/>
  <c r="Z22" i="19"/>
  <c r="AA22" i="19"/>
  <c r="AO22" i="19"/>
  <c r="E22" i="19" l="1"/>
  <c r="D20" i="19"/>
  <c r="I23" i="19"/>
  <c r="AM23" i="19"/>
  <c r="AC23" i="19"/>
  <c r="AH24" i="19"/>
  <c r="X23" i="19"/>
  <c r="S24" i="19"/>
  <c r="N23" i="19"/>
  <c r="J24" i="19"/>
  <c r="O24" i="19"/>
  <c r="T25" i="19"/>
  <c r="Y24" i="19"/>
  <c r="AD24" i="19"/>
  <c r="AI25" i="19"/>
  <c r="AN24" i="19"/>
  <c r="F20" i="19"/>
  <c r="Z23" i="19"/>
  <c r="AA23" i="19"/>
  <c r="AJ24" i="19"/>
  <c r="L23" i="19"/>
  <c r="AP23" i="19"/>
  <c r="G20" i="19"/>
  <c r="P23" i="19"/>
  <c r="Q23" i="19"/>
  <c r="U24" i="19"/>
  <c r="K23" i="19"/>
  <c r="AE23" i="19"/>
  <c r="AF23" i="19"/>
  <c r="AO23" i="19"/>
  <c r="V24" i="19"/>
  <c r="AK24" i="19"/>
  <c r="E23" i="19" l="1"/>
  <c r="D21" i="19"/>
  <c r="I24" i="19"/>
  <c r="AM24" i="19"/>
  <c r="AC24" i="19"/>
  <c r="AH25" i="19"/>
  <c r="X24" i="19"/>
  <c r="S25" i="19"/>
  <c r="N24" i="19"/>
  <c r="J25" i="19"/>
  <c r="O25" i="19"/>
  <c r="T26" i="19"/>
  <c r="Y25" i="19"/>
  <c r="AD25" i="19"/>
  <c r="AI26" i="19"/>
  <c r="AN25" i="19"/>
  <c r="F21" i="19"/>
  <c r="Z24" i="19"/>
  <c r="AA24" i="19"/>
  <c r="AJ25" i="19"/>
  <c r="AF24" i="19"/>
  <c r="G21" i="19"/>
  <c r="P24" i="19"/>
  <c r="Q24" i="19"/>
  <c r="U25" i="19"/>
  <c r="AE24" i="19"/>
  <c r="K24" i="19"/>
  <c r="L24" i="19"/>
  <c r="AK25" i="19"/>
  <c r="AP24" i="19"/>
  <c r="AO24" i="19"/>
  <c r="V25" i="19"/>
  <c r="E24" i="19" l="1"/>
  <c r="D22" i="19"/>
  <c r="I25" i="19"/>
  <c r="AM25" i="19"/>
  <c r="AC25" i="19"/>
  <c r="AH26" i="19"/>
  <c r="X25" i="19"/>
  <c r="S26" i="19"/>
  <c r="N25" i="19"/>
  <c r="J26" i="19"/>
  <c r="O26" i="19"/>
  <c r="T27" i="19"/>
  <c r="Y26" i="19"/>
  <c r="AD26" i="19"/>
  <c r="AI27" i="19"/>
  <c r="AN26" i="19"/>
  <c r="F22" i="19"/>
  <c r="Z25" i="19"/>
  <c r="AA25" i="19"/>
  <c r="U26" i="19"/>
  <c r="Q25" i="19"/>
  <c r="K25" i="19"/>
  <c r="AO25" i="19"/>
  <c r="G22" i="19"/>
  <c r="P25" i="19"/>
  <c r="AP25" i="19"/>
  <c r="L25" i="19"/>
  <c r="AE25" i="19"/>
  <c r="AF25" i="19"/>
  <c r="AJ26" i="19"/>
  <c r="V26" i="19"/>
  <c r="AK26" i="19"/>
  <c r="E25" i="19" l="1"/>
  <c r="D23" i="19"/>
  <c r="I26" i="19"/>
  <c r="AM26" i="19"/>
  <c r="AC26" i="19"/>
  <c r="AH27" i="19"/>
  <c r="X26" i="19"/>
  <c r="S27" i="19"/>
  <c r="N26" i="19"/>
  <c r="J27" i="19"/>
  <c r="O27" i="19"/>
  <c r="T28" i="19"/>
  <c r="Y27" i="19"/>
  <c r="AD27" i="19"/>
  <c r="AI28" i="19"/>
  <c r="AN27" i="19"/>
  <c r="F23" i="19"/>
  <c r="Z26" i="19"/>
  <c r="AA26" i="19"/>
  <c r="AJ27" i="19"/>
  <c r="Q26" i="19"/>
  <c r="K26" i="19"/>
  <c r="AP26" i="19"/>
  <c r="G23" i="19"/>
  <c r="P26" i="19"/>
  <c r="U27" i="19"/>
  <c r="L26" i="19"/>
  <c r="AE26" i="19"/>
  <c r="AF26" i="19"/>
  <c r="AO26" i="19"/>
  <c r="V27" i="19"/>
  <c r="AK27" i="19"/>
  <c r="E26" i="19" l="1"/>
  <c r="D24" i="19"/>
  <c r="I27" i="19"/>
  <c r="AM27" i="19"/>
  <c r="AC27" i="19"/>
  <c r="AH28" i="19"/>
  <c r="X27" i="19"/>
  <c r="S28" i="19"/>
  <c r="N27" i="19"/>
  <c r="J28" i="19"/>
  <c r="O28" i="19"/>
  <c r="T29" i="19"/>
  <c r="Y28" i="19"/>
  <c r="AD28" i="19"/>
  <c r="AI29" i="19"/>
  <c r="AN28" i="19"/>
  <c r="F24" i="19"/>
  <c r="Z27" i="19"/>
  <c r="AA27" i="19"/>
  <c r="AJ28" i="19"/>
  <c r="AF27" i="19"/>
  <c r="G24" i="19"/>
  <c r="P27" i="19"/>
  <c r="Q27" i="19"/>
  <c r="U28" i="19"/>
  <c r="AO27" i="19"/>
  <c r="K27" i="19"/>
  <c r="L27" i="19"/>
  <c r="AK28" i="19"/>
  <c r="AP27" i="19"/>
  <c r="AE27" i="19"/>
  <c r="V28" i="19"/>
  <c r="E27" i="19" l="1"/>
  <c r="D25" i="19"/>
  <c r="I28" i="19"/>
  <c r="AM28" i="19"/>
  <c r="AC28" i="19"/>
  <c r="AH29" i="19"/>
  <c r="X28" i="19"/>
  <c r="S29" i="19"/>
  <c r="N28" i="19"/>
  <c r="J29" i="19"/>
  <c r="O29" i="19"/>
  <c r="T30" i="19"/>
  <c r="Y29" i="19"/>
  <c r="AD29" i="19"/>
  <c r="AI30" i="19"/>
  <c r="AN29" i="19"/>
  <c r="F25" i="19"/>
  <c r="Z28" i="19"/>
  <c r="AA28" i="19"/>
  <c r="AJ29" i="19"/>
  <c r="AF28" i="19"/>
  <c r="G25" i="19"/>
  <c r="P28" i="19"/>
  <c r="Q28" i="19"/>
  <c r="U29" i="19"/>
  <c r="AO28" i="19"/>
  <c r="K28" i="19"/>
  <c r="L28" i="19"/>
  <c r="AK29" i="19"/>
  <c r="AP28" i="19"/>
  <c r="AE28" i="19"/>
  <c r="V29" i="19"/>
  <c r="E28" i="19" l="1"/>
  <c r="D26" i="19"/>
  <c r="I29" i="19"/>
  <c r="AM29" i="19"/>
  <c r="AC29" i="19"/>
  <c r="AH30" i="19"/>
  <c r="X29" i="19"/>
  <c r="S30" i="19"/>
  <c r="N29" i="19"/>
  <c r="J30" i="19"/>
  <c r="O30" i="19"/>
  <c r="T31" i="19"/>
  <c r="Y30" i="19"/>
  <c r="AD30" i="19"/>
  <c r="AI31" i="19"/>
  <c r="AN30" i="19"/>
  <c r="F26" i="19"/>
  <c r="Z29" i="19"/>
  <c r="AA29" i="19"/>
  <c r="AJ30" i="19"/>
  <c r="AO29" i="19"/>
  <c r="G26" i="19"/>
  <c r="P29" i="19"/>
  <c r="Q29" i="19"/>
  <c r="U30" i="19"/>
  <c r="AF29" i="19"/>
  <c r="K29" i="19"/>
  <c r="L29" i="19"/>
  <c r="AK30" i="19"/>
  <c r="AP29" i="19"/>
  <c r="AE29" i="19"/>
  <c r="V30" i="19"/>
  <c r="E29" i="19" l="1"/>
  <c r="D27" i="19"/>
  <c r="I30" i="19"/>
  <c r="AM30" i="19"/>
  <c r="AC30" i="19"/>
  <c r="AH31" i="19"/>
  <c r="X30" i="19"/>
  <c r="S31" i="19"/>
  <c r="N30" i="19"/>
  <c r="J31" i="19"/>
  <c r="O31" i="19"/>
  <c r="T32" i="19"/>
  <c r="Y31" i="19"/>
  <c r="AD31" i="19"/>
  <c r="AI32" i="19"/>
  <c r="AN31" i="19"/>
  <c r="F27" i="19"/>
  <c r="Z30" i="19"/>
  <c r="AA30" i="19"/>
  <c r="AJ31" i="19"/>
  <c r="U31" i="19"/>
  <c r="K30" i="19"/>
  <c r="V31" i="19"/>
  <c r="G27" i="19"/>
  <c r="P30" i="19"/>
  <c r="Q30" i="19"/>
  <c r="L30" i="19"/>
  <c r="AE30" i="19"/>
  <c r="AF30" i="19"/>
  <c r="AO30" i="19"/>
  <c r="AK31" i="19"/>
  <c r="AP30" i="19"/>
  <c r="E30" i="19" l="1"/>
  <c r="D28" i="19"/>
  <c r="I31" i="19"/>
  <c r="AM31" i="19"/>
  <c r="AC31" i="19"/>
  <c r="AH32" i="19"/>
  <c r="X31" i="19"/>
  <c r="S32" i="19"/>
  <c r="N31" i="19"/>
  <c r="J32" i="19"/>
  <c r="O32" i="19"/>
  <c r="T33" i="19"/>
  <c r="Y32" i="19"/>
  <c r="AD32" i="19"/>
  <c r="AI33" i="19"/>
  <c r="AN32" i="19"/>
  <c r="F28" i="19"/>
  <c r="Z31" i="19"/>
  <c r="AF31" i="19"/>
  <c r="AJ32" i="19"/>
  <c r="AA31" i="19"/>
  <c r="K31" i="19"/>
  <c r="Q31" i="19"/>
  <c r="G28" i="19"/>
  <c r="P31" i="19"/>
  <c r="U32" i="19"/>
  <c r="V32" i="19"/>
  <c r="AE31" i="19"/>
  <c r="L31" i="19"/>
  <c r="AO31" i="19"/>
  <c r="AK32" i="19"/>
  <c r="AP31" i="19"/>
  <c r="E31" i="19" l="1"/>
  <c r="D29" i="19"/>
  <c r="I32" i="19"/>
  <c r="AM32" i="19"/>
  <c r="AC32" i="19"/>
  <c r="AH33" i="19"/>
  <c r="X32" i="19"/>
  <c r="S33" i="19"/>
  <c r="N32" i="19"/>
  <c r="J33" i="19"/>
  <c r="O33" i="19"/>
  <c r="T34" i="19"/>
  <c r="Y33" i="19"/>
  <c r="AD33" i="19"/>
  <c r="AI34" i="19"/>
  <c r="AN33" i="19"/>
  <c r="F29" i="19"/>
  <c r="Z32" i="19"/>
  <c r="AA32" i="19"/>
  <c r="U33" i="19"/>
  <c r="Q32" i="19"/>
  <c r="K32" i="19"/>
  <c r="AK33" i="19"/>
  <c r="G29" i="19"/>
  <c r="P32" i="19"/>
  <c r="AP32" i="19"/>
  <c r="L32" i="19"/>
  <c r="AE32" i="19"/>
  <c r="AF32" i="19"/>
  <c r="AJ33" i="19"/>
  <c r="V33" i="19"/>
  <c r="AO32" i="19"/>
  <c r="E32" i="19" l="1"/>
  <c r="D30" i="19"/>
  <c r="I33" i="19"/>
  <c r="AM33" i="19"/>
  <c r="AC33" i="19"/>
  <c r="AH34" i="19"/>
  <c r="X33" i="19"/>
  <c r="S34" i="19"/>
  <c r="N33" i="19"/>
  <c r="J34" i="19"/>
  <c r="O34" i="19"/>
  <c r="T35" i="19"/>
  <c r="Y34" i="19"/>
  <c r="AD34" i="19"/>
  <c r="AI35" i="19"/>
  <c r="AN34" i="19"/>
  <c r="F30" i="19"/>
  <c r="Z33" i="19"/>
  <c r="AA33" i="19"/>
  <c r="AJ34" i="19"/>
  <c r="Q33" i="19"/>
  <c r="K33" i="19"/>
  <c r="V34" i="19"/>
  <c r="G30" i="19"/>
  <c r="P33" i="19"/>
  <c r="U34" i="19"/>
  <c r="L33" i="19"/>
  <c r="AE33" i="19"/>
  <c r="AF33" i="19"/>
  <c r="AO33" i="19"/>
  <c r="AK34" i="19"/>
  <c r="AP33" i="19"/>
  <c r="E33" i="19" l="1"/>
  <c r="D31" i="19"/>
  <c r="I34" i="19"/>
  <c r="AM34" i="19"/>
  <c r="AC34" i="19"/>
  <c r="AH35" i="19"/>
  <c r="X34" i="19"/>
  <c r="S35" i="19"/>
  <c r="N34" i="19"/>
  <c r="J35" i="19"/>
  <c r="O35" i="19"/>
  <c r="T36" i="19"/>
  <c r="Y35" i="19"/>
  <c r="AD35" i="19"/>
  <c r="AI36" i="19"/>
  <c r="AN35" i="19"/>
  <c r="F31" i="19"/>
  <c r="Z34" i="19"/>
  <c r="V35" i="19"/>
  <c r="Q34" i="19"/>
  <c r="L34" i="19"/>
  <c r="K34" i="19"/>
  <c r="AF34" i="19"/>
  <c r="G31" i="19"/>
  <c r="P34" i="19"/>
  <c r="AO34" i="19"/>
  <c r="AJ35" i="19"/>
  <c r="AE34" i="19"/>
  <c r="AK35" i="19"/>
  <c r="AA34" i="19"/>
  <c r="AP34" i="19"/>
  <c r="U35" i="19"/>
  <c r="E34" i="19" l="1"/>
  <c r="D32" i="19"/>
  <c r="I35" i="19"/>
  <c r="AM35" i="19"/>
  <c r="AC35" i="19"/>
  <c r="AH36" i="19"/>
  <c r="X35" i="19"/>
  <c r="S36" i="19"/>
  <c r="N35" i="19"/>
  <c r="J36" i="19"/>
  <c r="O36" i="19"/>
  <c r="T37" i="19"/>
  <c r="Y36" i="19"/>
  <c r="AD36" i="19"/>
  <c r="AI37" i="19"/>
  <c r="AN36" i="19"/>
  <c r="F32" i="19"/>
  <c r="Z35" i="19"/>
  <c r="AF35" i="19"/>
  <c r="AJ36" i="19"/>
  <c r="AA35" i="19"/>
  <c r="K35" i="19"/>
  <c r="Q35" i="19"/>
  <c r="G32" i="19"/>
  <c r="P35" i="19"/>
  <c r="U36" i="19"/>
  <c r="AK36" i="19"/>
  <c r="AE35" i="19"/>
  <c r="L35" i="19"/>
  <c r="AO35" i="19"/>
  <c r="V36" i="19"/>
  <c r="AP35" i="19"/>
  <c r="E35" i="19" l="1"/>
  <c r="D33" i="19"/>
  <c r="I36" i="19"/>
  <c r="AM36" i="19"/>
  <c r="AC36" i="19"/>
  <c r="AH37" i="19"/>
  <c r="X36" i="19"/>
  <c r="S37" i="19"/>
  <c r="N36" i="19"/>
  <c r="J37" i="19"/>
  <c r="O37" i="19"/>
  <c r="T38" i="19"/>
  <c r="Y37" i="19"/>
  <c r="AD37" i="19"/>
  <c r="AI38" i="19"/>
  <c r="AN37" i="19"/>
  <c r="F33" i="19"/>
  <c r="Z36" i="19"/>
  <c r="L36" i="19"/>
  <c r="AO36" i="19"/>
  <c r="G33" i="19"/>
  <c r="AJ37" i="19"/>
  <c r="K36" i="19"/>
  <c r="AP36" i="19"/>
  <c r="AA36" i="19"/>
  <c r="U37" i="19"/>
  <c r="AF36" i="19"/>
  <c r="AE36" i="19"/>
  <c r="V37" i="19"/>
  <c r="Q36" i="19"/>
  <c r="AK37" i="19"/>
  <c r="P36" i="19"/>
  <c r="E36" i="19" l="1"/>
  <c r="D34" i="19"/>
  <c r="I37" i="19"/>
  <c r="AM37" i="19"/>
  <c r="AC37" i="19"/>
  <c r="AH38" i="19"/>
  <c r="X37" i="19"/>
  <c r="S38" i="19"/>
  <c r="N37" i="19"/>
  <c r="J38" i="19"/>
  <c r="O38" i="19"/>
  <c r="T39" i="19"/>
  <c r="Y38" i="19"/>
  <c r="AD38" i="19"/>
  <c r="AI39" i="19"/>
  <c r="AN38" i="19"/>
  <c r="F34" i="19"/>
  <c r="Z37" i="19"/>
  <c r="L37" i="19"/>
  <c r="AO37" i="19"/>
  <c r="P37" i="19"/>
  <c r="AF37" i="19"/>
  <c r="K37" i="19"/>
  <c r="AP37" i="19"/>
  <c r="AA37" i="19"/>
  <c r="G34" i="19"/>
  <c r="AJ38" i="19"/>
  <c r="U38" i="19"/>
  <c r="AE37" i="19"/>
  <c r="V38" i="19"/>
  <c r="Q37" i="19"/>
  <c r="AK38" i="19"/>
  <c r="E37" i="19" l="1"/>
  <c r="D35" i="19"/>
  <c r="I38" i="19"/>
  <c r="AM38" i="19"/>
  <c r="AC38" i="19"/>
  <c r="AH39" i="19"/>
  <c r="X38" i="19"/>
  <c r="S39" i="19"/>
  <c r="N38" i="19"/>
  <c r="J39" i="19"/>
  <c r="O39" i="19"/>
  <c r="T40" i="19"/>
  <c r="Y39" i="19"/>
  <c r="AD39" i="19"/>
  <c r="AI40" i="19"/>
  <c r="AN39" i="19"/>
  <c r="F35" i="19"/>
  <c r="Z38" i="19"/>
  <c r="AF38" i="19"/>
  <c r="AJ39" i="19"/>
  <c r="P38" i="19"/>
  <c r="AA38" i="19"/>
  <c r="U39" i="19"/>
  <c r="AP38" i="19"/>
  <c r="Q38" i="19"/>
  <c r="G35" i="19"/>
  <c r="K38" i="19"/>
  <c r="AK39" i="19"/>
  <c r="AE38" i="19"/>
  <c r="L38" i="19"/>
  <c r="AO38" i="19"/>
  <c r="V39" i="19"/>
  <c r="E38" i="19" l="1"/>
  <c r="D36" i="19"/>
  <c r="I39" i="19"/>
  <c r="AM39" i="19"/>
  <c r="AC39" i="19"/>
  <c r="AH40" i="19"/>
  <c r="X39" i="19"/>
  <c r="S40" i="19"/>
  <c r="N39" i="19"/>
  <c r="J40" i="19"/>
  <c r="O40" i="19"/>
  <c r="T41" i="19"/>
  <c r="Y40" i="19"/>
  <c r="AD40" i="19"/>
  <c r="AI41" i="19"/>
  <c r="AN40" i="19"/>
  <c r="F36" i="19"/>
  <c r="Z39" i="19"/>
  <c r="AF39" i="19"/>
  <c r="AJ40" i="19"/>
  <c r="P39" i="19"/>
  <c r="AA39" i="19"/>
  <c r="U40" i="19"/>
  <c r="K39" i="19"/>
  <c r="Q39" i="19"/>
  <c r="V40" i="19"/>
  <c r="G36" i="19"/>
  <c r="AK40" i="19"/>
  <c r="AP39" i="19"/>
  <c r="AE39" i="19"/>
  <c r="L39" i="19"/>
  <c r="AO39" i="19"/>
  <c r="E39" i="19" l="1"/>
  <c r="D37" i="19"/>
  <c r="I40" i="19"/>
  <c r="AM40" i="19"/>
  <c r="AC40" i="19"/>
  <c r="AH41" i="19"/>
  <c r="X40" i="19"/>
  <c r="S41" i="19"/>
  <c r="N40" i="19"/>
  <c r="J41" i="19"/>
  <c r="O41" i="19"/>
  <c r="T42" i="19"/>
  <c r="Y41" i="19"/>
  <c r="AD41" i="19"/>
  <c r="AI42" i="19"/>
  <c r="AN41" i="19"/>
  <c r="F37" i="19"/>
  <c r="Z40" i="19"/>
  <c r="L40" i="19"/>
  <c r="AO40" i="19"/>
  <c r="AK41" i="19"/>
  <c r="G37" i="19"/>
  <c r="P40" i="19"/>
  <c r="AF40" i="19"/>
  <c r="AJ41" i="19"/>
  <c r="Q40" i="19"/>
  <c r="K40" i="19"/>
  <c r="AP40" i="19"/>
  <c r="AA40" i="19"/>
  <c r="U41" i="19"/>
  <c r="AE40" i="19"/>
  <c r="V41" i="19"/>
  <c r="E40" i="19" l="1"/>
  <c r="D38" i="19"/>
  <c r="I41" i="19"/>
  <c r="AM41" i="19"/>
  <c r="AC41" i="19"/>
  <c r="AH42" i="19"/>
  <c r="X41" i="19"/>
  <c r="S42" i="19"/>
  <c r="N41" i="19"/>
  <c r="J42" i="19"/>
  <c r="O42" i="19"/>
  <c r="T43" i="19"/>
  <c r="Y42" i="19"/>
  <c r="AD42" i="19"/>
  <c r="AI43" i="19"/>
  <c r="AN42" i="19"/>
  <c r="F38" i="19"/>
  <c r="Z41" i="19"/>
  <c r="L41" i="19"/>
  <c r="AO41" i="19"/>
  <c r="AF41" i="19"/>
  <c r="AJ42" i="19"/>
  <c r="AP41" i="19"/>
  <c r="U42" i="19"/>
  <c r="G38" i="19"/>
  <c r="P41" i="19"/>
  <c r="K41" i="19"/>
  <c r="AE41" i="19"/>
  <c r="V42" i="19"/>
  <c r="Q41" i="19"/>
  <c r="AK42" i="19"/>
  <c r="AA41" i="19"/>
  <c r="E41" i="19" l="1"/>
  <c r="D39" i="19"/>
  <c r="I42" i="19"/>
  <c r="AM42" i="19"/>
  <c r="AC42" i="19"/>
  <c r="AH43" i="19"/>
  <c r="X42" i="19"/>
  <c r="S43" i="19"/>
  <c r="N42" i="19"/>
  <c r="J43" i="19"/>
  <c r="O43" i="19"/>
  <c r="T44" i="19"/>
  <c r="Y43" i="19"/>
  <c r="AD43" i="19"/>
  <c r="AI44" i="19"/>
  <c r="AN43" i="19"/>
  <c r="F39" i="19"/>
  <c r="Z42" i="19"/>
  <c r="AF42" i="19"/>
  <c r="AJ43" i="19"/>
  <c r="G39" i="19"/>
  <c r="P42" i="19"/>
  <c r="AA42" i="19"/>
  <c r="U43" i="19"/>
  <c r="K42" i="19"/>
  <c r="AK43" i="19"/>
  <c r="Q42" i="19"/>
  <c r="AP42" i="19"/>
  <c r="AE42" i="19"/>
  <c r="L42" i="19"/>
  <c r="AO42" i="19"/>
  <c r="V43" i="19"/>
  <c r="E42" i="19" l="1"/>
  <c r="D40" i="19"/>
  <c r="I43" i="19"/>
  <c r="AM43" i="19"/>
  <c r="AC43" i="19"/>
  <c r="AH44" i="19"/>
  <c r="X43" i="19"/>
  <c r="S44" i="19"/>
  <c r="N43" i="19"/>
  <c r="J44" i="19"/>
  <c r="O44" i="19"/>
  <c r="T45" i="19"/>
  <c r="Y44" i="19"/>
  <c r="AD44" i="19"/>
  <c r="AI45" i="19"/>
  <c r="AN44" i="19"/>
  <c r="G40" i="19"/>
  <c r="P43" i="19"/>
  <c r="AA43" i="19"/>
  <c r="U44" i="19"/>
  <c r="K43" i="19"/>
  <c r="AK44" i="19"/>
  <c r="Q43" i="19"/>
  <c r="AP43" i="19"/>
  <c r="AE43" i="19"/>
  <c r="L43" i="19"/>
  <c r="AO43" i="19"/>
  <c r="V44" i="19"/>
  <c r="F40" i="19"/>
  <c r="Z43" i="19"/>
  <c r="AF43" i="19"/>
  <c r="AJ44" i="19"/>
  <c r="E43" i="19" l="1"/>
  <c r="D41" i="19"/>
  <c r="I44" i="19"/>
  <c r="AM44" i="19"/>
  <c r="AC44" i="19"/>
  <c r="AH45" i="19"/>
  <c r="X44" i="19"/>
  <c r="S45" i="19"/>
  <c r="N44" i="19"/>
  <c r="J45" i="19"/>
  <c r="O45" i="19"/>
  <c r="T46" i="19"/>
  <c r="Y45" i="19"/>
  <c r="AD45" i="19"/>
  <c r="AI46" i="19"/>
  <c r="AN45" i="19"/>
  <c r="F41" i="19"/>
  <c r="Z44" i="19"/>
  <c r="L44" i="19"/>
  <c r="AO44" i="19"/>
  <c r="K44" i="19"/>
  <c r="AA44" i="19"/>
  <c r="AE44" i="19"/>
  <c r="V45" i="19"/>
  <c r="AK45" i="19"/>
  <c r="G41" i="19"/>
  <c r="P44" i="19"/>
  <c r="AF44" i="19"/>
  <c r="AJ45" i="19"/>
  <c r="AP44" i="19"/>
  <c r="U45" i="19"/>
  <c r="Q44" i="19"/>
  <c r="E44" i="19" l="1"/>
  <c r="D42" i="19"/>
  <c r="I45" i="19"/>
  <c r="AM45" i="19"/>
  <c r="AC45" i="19"/>
  <c r="AH46" i="19"/>
  <c r="X45" i="19"/>
  <c r="S46" i="19"/>
  <c r="N45" i="19"/>
  <c r="J46" i="19"/>
  <c r="O46" i="19"/>
  <c r="T47" i="19"/>
  <c r="Y46" i="19"/>
  <c r="AD46" i="19"/>
  <c r="AI47" i="19"/>
  <c r="AN46" i="19"/>
  <c r="F42" i="19"/>
  <c r="Z45" i="19"/>
  <c r="AF45" i="19"/>
  <c r="AJ46" i="19"/>
  <c r="K45" i="19"/>
  <c r="AP45" i="19"/>
  <c r="G42" i="19"/>
  <c r="P45" i="19"/>
  <c r="AA45" i="19"/>
  <c r="U46" i="19"/>
  <c r="Q45" i="19"/>
  <c r="AE45" i="19"/>
  <c r="L45" i="19"/>
  <c r="AO45" i="19"/>
  <c r="V46" i="19"/>
  <c r="AK46" i="19"/>
  <c r="E45" i="19" l="1"/>
  <c r="D43" i="19"/>
  <c r="I46" i="19"/>
  <c r="AM46" i="19"/>
  <c r="AC46" i="19"/>
  <c r="AH47" i="19"/>
  <c r="X46" i="19"/>
  <c r="S47" i="19"/>
  <c r="N46" i="19"/>
  <c r="J47" i="19"/>
  <c r="O47" i="19"/>
  <c r="T48" i="19"/>
  <c r="Y47" i="19"/>
  <c r="AD47" i="19"/>
  <c r="AI48" i="19"/>
  <c r="AN47" i="19"/>
  <c r="F43" i="19"/>
  <c r="U47" i="19"/>
  <c r="K46" i="19"/>
  <c r="L46" i="19"/>
  <c r="G43" i="19"/>
  <c r="AP46" i="19"/>
  <c r="AE46" i="19"/>
  <c r="AF46" i="19"/>
  <c r="AO46" i="19"/>
  <c r="AK47" i="19"/>
  <c r="Z46" i="19"/>
  <c r="AA46" i="19"/>
  <c r="AJ47" i="19"/>
  <c r="V47" i="19"/>
  <c r="P46" i="19"/>
  <c r="Q46" i="19"/>
  <c r="E46" i="19" l="1"/>
  <c r="D44" i="19"/>
  <c r="I47" i="19"/>
  <c r="AM47" i="19"/>
  <c r="AC47" i="19"/>
  <c r="AH48" i="19"/>
  <c r="X47" i="19"/>
  <c r="S48" i="19"/>
  <c r="N47" i="19"/>
  <c r="J48" i="19"/>
  <c r="O48" i="19"/>
  <c r="T49" i="19"/>
  <c r="Y48" i="19"/>
  <c r="AD48" i="19"/>
  <c r="AI49" i="19"/>
  <c r="AN48" i="19"/>
  <c r="F44" i="19"/>
  <c r="Z47" i="19"/>
  <c r="AP47" i="19"/>
  <c r="Q47" i="19"/>
  <c r="L47" i="19"/>
  <c r="AO47" i="19"/>
  <c r="AJ48" i="19"/>
  <c r="AF47" i="19"/>
  <c r="G44" i="19"/>
  <c r="P47" i="19"/>
  <c r="K47" i="19"/>
  <c r="AE47" i="19"/>
  <c r="U48" i="19"/>
  <c r="AA47" i="19"/>
  <c r="V48" i="19"/>
  <c r="AK48" i="19"/>
  <c r="E47" i="19" l="1"/>
  <c r="D45" i="19"/>
  <c r="I48" i="19"/>
  <c r="AM48" i="19"/>
  <c r="AC48" i="19"/>
  <c r="AH49" i="19"/>
  <c r="X48" i="19"/>
  <c r="S49" i="19"/>
  <c r="N48" i="19"/>
  <c r="J49" i="19"/>
  <c r="O49" i="19"/>
  <c r="T50" i="19"/>
  <c r="Y49" i="19"/>
  <c r="AD49" i="19"/>
  <c r="AI50" i="19"/>
  <c r="AN49" i="19"/>
  <c r="F45" i="19"/>
  <c r="Z48" i="19"/>
  <c r="L48" i="19"/>
  <c r="AO48" i="19"/>
  <c r="AF48" i="19"/>
  <c r="U49" i="19"/>
  <c r="AJ49" i="19"/>
  <c r="AA48" i="19"/>
  <c r="G45" i="19"/>
  <c r="P48" i="19"/>
  <c r="K48" i="19"/>
  <c r="AP48" i="19"/>
  <c r="AE48" i="19"/>
  <c r="AK49" i="19"/>
  <c r="Q48" i="19"/>
  <c r="V49" i="19"/>
  <c r="E48" i="19" l="1"/>
  <c r="D46" i="19"/>
  <c r="I49" i="19"/>
  <c r="AM49" i="19"/>
  <c r="AC49" i="19"/>
  <c r="AH50" i="19"/>
  <c r="X49" i="19"/>
  <c r="S50" i="19"/>
  <c r="N49" i="19"/>
  <c r="J50" i="19"/>
  <c r="O50" i="19"/>
  <c r="T51" i="19"/>
  <c r="Y50" i="19"/>
  <c r="AD50" i="19"/>
  <c r="AI51" i="19"/>
  <c r="AN50" i="19"/>
  <c r="F46" i="19"/>
  <c r="Z49" i="19"/>
  <c r="AF49" i="19"/>
  <c r="AJ50" i="19"/>
  <c r="AP49" i="19"/>
  <c r="AO49" i="19"/>
  <c r="G46" i="19"/>
  <c r="P49" i="19"/>
  <c r="AA49" i="19"/>
  <c r="U50" i="19"/>
  <c r="AE49" i="19"/>
  <c r="K49" i="19"/>
  <c r="AK50" i="19"/>
  <c r="Q49" i="19"/>
  <c r="L49" i="19"/>
  <c r="V50" i="19"/>
  <c r="E49" i="19" l="1"/>
  <c r="D47" i="19"/>
  <c r="I50" i="19"/>
  <c r="AM50" i="19"/>
  <c r="AC50" i="19"/>
  <c r="AH51" i="19"/>
  <c r="X50" i="19"/>
  <c r="S51" i="19"/>
  <c r="N50" i="19"/>
  <c r="J51" i="19"/>
  <c r="O51" i="19"/>
  <c r="T52" i="19"/>
  <c r="Y51" i="19"/>
  <c r="AD51" i="19"/>
  <c r="AI52" i="19"/>
  <c r="AN51" i="19"/>
  <c r="F47" i="19"/>
  <c r="Z50" i="19"/>
  <c r="L50" i="19"/>
  <c r="AO50" i="19"/>
  <c r="P50" i="19"/>
  <c r="AJ51" i="19"/>
  <c r="K50" i="19"/>
  <c r="AA50" i="19"/>
  <c r="U51" i="19"/>
  <c r="G47" i="19"/>
  <c r="AF50" i="19"/>
  <c r="AK51" i="19"/>
  <c r="AE50" i="19"/>
  <c r="V51" i="19"/>
  <c r="Q50" i="19"/>
  <c r="AP50" i="19"/>
  <c r="E50" i="19" l="1"/>
  <c r="D48" i="19"/>
  <c r="I51" i="19"/>
  <c r="AM51" i="19"/>
  <c r="AC51" i="19"/>
  <c r="AH52" i="19"/>
  <c r="X51" i="19"/>
  <c r="S52" i="19"/>
  <c r="N51" i="19"/>
  <c r="J52" i="19"/>
  <c r="O52" i="19"/>
  <c r="T53" i="19"/>
  <c r="Y52" i="19"/>
  <c r="AD52" i="19"/>
  <c r="AI53" i="19"/>
  <c r="AN52" i="19"/>
  <c r="F48" i="19"/>
  <c r="Z51" i="19"/>
  <c r="L51" i="19"/>
  <c r="AO51" i="19"/>
  <c r="P51" i="19"/>
  <c r="AF51" i="19"/>
  <c r="K51" i="19"/>
  <c r="AP51" i="19"/>
  <c r="U52" i="19"/>
  <c r="V52" i="19"/>
  <c r="AK52" i="19"/>
  <c r="G48" i="19"/>
  <c r="AJ52" i="19"/>
  <c r="AA51" i="19"/>
  <c r="AE51" i="19"/>
  <c r="Q51" i="19"/>
  <c r="E51" i="19" l="1"/>
  <c r="D49" i="19"/>
  <c r="I52" i="19"/>
  <c r="AM52" i="19"/>
  <c r="AC52" i="19"/>
  <c r="AH53" i="19"/>
  <c r="X52" i="19"/>
  <c r="S53" i="19"/>
  <c r="N52" i="19"/>
  <c r="J53" i="19"/>
  <c r="O53" i="19"/>
  <c r="T54" i="19"/>
  <c r="Y53" i="19"/>
  <c r="AD53" i="19"/>
  <c r="AI54" i="19"/>
  <c r="AN53" i="19"/>
  <c r="F49" i="19"/>
  <c r="Z52" i="19"/>
  <c r="L52" i="19"/>
  <c r="AO52" i="19"/>
  <c r="G49" i="19"/>
  <c r="P52" i="19"/>
  <c r="AF52" i="19"/>
  <c r="AJ53" i="19"/>
  <c r="K52" i="19"/>
  <c r="AK53" i="19"/>
  <c r="AA52" i="19"/>
  <c r="U53" i="19"/>
  <c r="AE52" i="19"/>
  <c r="V53" i="19"/>
  <c r="Q52" i="19"/>
  <c r="AP52" i="19"/>
  <c r="E52" i="19" l="1"/>
  <c r="D50" i="19"/>
  <c r="I53" i="19"/>
  <c r="AM53" i="19"/>
  <c r="AC53" i="19"/>
  <c r="AH54" i="19"/>
  <c r="X53" i="19"/>
  <c r="S54" i="19"/>
  <c r="N53" i="19"/>
  <c r="J54" i="19"/>
  <c r="O54" i="19"/>
  <c r="T55" i="19"/>
  <c r="Y54" i="19"/>
  <c r="AD54" i="19"/>
  <c r="AI55" i="19"/>
  <c r="AN54" i="19"/>
  <c r="G50" i="19"/>
  <c r="P53" i="19"/>
  <c r="AF53" i="19"/>
  <c r="AJ54" i="19"/>
  <c r="K53" i="19"/>
  <c r="U54" i="19"/>
  <c r="AA53" i="19"/>
  <c r="AP53" i="19"/>
  <c r="AE53" i="19"/>
  <c r="V54" i="19"/>
  <c r="Q53" i="19"/>
  <c r="AK54" i="19"/>
  <c r="F50" i="19"/>
  <c r="Z53" i="19"/>
  <c r="L53" i="19"/>
  <c r="AO53" i="19"/>
  <c r="E53" i="19" l="1"/>
  <c r="D51" i="19"/>
  <c r="I54" i="19"/>
  <c r="AM54" i="19"/>
  <c r="AC54" i="19"/>
  <c r="AH55" i="19"/>
  <c r="X54" i="19"/>
  <c r="S55" i="19"/>
  <c r="N54" i="19"/>
  <c r="J55" i="19"/>
  <c r="O55" i="19"/>
  <c r="T56" i="19"/>
  <c r="Y55" i="19"/>
  <c r="AD55" i="19"/>
  <c r="AI56" i="19"/>
  <c r="AN55" i="19"/>
  <c r="F51" i="19"/>
  <c r="Z54" i="19"/>
  <c r="AA54" i="19"/>
  <c r="U55" i="19"/>
  <c r="P54" i="19"/>
  <c r="AP54" i="19"/>
  <c r="K54" i="19"/>
  <c r="AK55" i="19"/>
  <c r="AE54" i="19"/>
  <c r="AF54" i="19"/>
  <c r="AJ55" i="19"/>
  <c r="V55" i="19"/>
  <c r="G51" i="19"/>
  <c r="Q54" i="19"/>
  <c r="L54" i="19"/>
  <c r="AO54" i="19"/>
  <c r="E54" i="19" l="1"/>
  <c r="D52" i="19"/>
  <c r="I55" i="19"/>
  <c r="AM55" i="19"/>
  <c r="AC55" i="19"/>
  <c r="AH56" i="19"/>
  <c r="X55" i="19"/>
  <c r="S56" i="19"/>
  <c r="N55" i="19"/>
  <c r="J56" i="19"/>
  <c r="O56" i="19"/>
  <c r="T57" i="19"/>
  <c r="Y56" i="19"/>
  <c r="AD56" i="19"/>
  <c r="AI57" i="19"/>
  <c r="AN56" i="19"/>
  <c r="F52" i="19"/>
  <c r="Z55" i="19"/>
  <c r="AA55" i="19"/>
  <c r="AJ56" i="19"/>
  <c r="V56" i="19"/>
  <c r="G52" i="19"/>
  <c r="P55" i="19"/>
  <c r="Q55" i="19"/>
  <c r="U56" i="19"/>
  <c r="L55" i="19"/>
  <c r="AE55" i="19"/>
  <c r="AF55" i="19"/>
  <c r="AO55" i="19"/>
  <c r="AK56" i="19"/>
  <c r="K55" i="19"/>
  <c r="AP55" i="19"/>
  <c r="E55" i="19" l="1"/>
  <c r="D53" i="19"/>
  <c r="I56" i="19"/>
  <c r="AM56" i="19"/>
  <c r="AC56" i="19"/>
  <c r="AH57" i="19"/>
  <c r="X56" i="19"/>
  <c r="S57" i="19"/>
  <c r="N56" i="19"/>
  <c r="J57" i="19"/>
  <c r="O57" i="19"/>
  <c r="T58" i="19"/>
  <c r="Y57" i="19"/>
  <c r="AD57" i="19"/>
  <c r="AI58" i="19"/>
  <c r="AN57" i="19"/>
  <c r="F53" i="19"/>
  <c r="Z56" i="19"/>
  <c r="AO56" i="19"/>
  <c r="AK57" i="19"/>
  <c r="AE56" i="19"/>
  <c r="G53" i="19"/>
  <c r="P56" i="19"/>
  <c r="AJ57" i="19"/>
  <c r="V57" i="19"/>
  <c r="AA56" i="19"/>
  <c r="K56" i="19"/>
  <c r="L56" i="19"/>
  <c r="U57" i="19"/>
  <c r="AF56" i="19"/>
  <c r="AP56" i="19"/>
  <c r="Q56" i="19"/>
  <c r="E56" i="19" l="1"/>
  <c r="D54" i="19"/>
  <c r="I57" i="19"/>
  <c r="AM57" i="19"/>
  <c r="AC57" i="19"/>
  <c r="AH58" i="19"/>
  <c r="X57" i="19"/>
  <c r="S58" i="19"/>
  <c r="N57" i="19"/>
  <c r="J58" i="19"/>
  <c r="O58" i="19"/>
  <c r="T59" i="19"/>
  <c r="Y58" i="19"/>
  <c r="AD58" i="19"/>
  <c r="AI59" i="19"/>
  <c r="AN58" i="19"/>
  <c r="F54" i="19"/>
  <c r="Z57" i="19"/>
  <c r="AO57" i="19"/>
  <c r="AK58" i="19"/>
  <c r="G54" i="19"/>
  <c r="P57" i="19"/>
  <c r="AJ58" i="19"/>
  <c r="V58" i="19"/>
  <c r="K57" i="19"/>
  <c r="L57" i="19"/>
  <c r="AF57" i="19"/>
  <c r="AE57" i="19"/>
  <c r="AA57" i="19"/>
  <c r="AP57" i="19"/>
  <c r="Q57" i="19"/>
  <c r="U58" i="19"/>
  <c r="E57" i="19" l="1"/>
  <c r="D55" i="19"/>
  <c r="I58" i="19"/>
  <c r="AM58" i="19"/>
  <c r="AC58" i="19"/>
  <c r="AH59" i="19"/>
  <c r="X58" i="19"/>
  <c r="S59" i="19"/>
  <c r="N58" i="19"/>
  <c r="J59" i="19"/>
  <c r="O59" i="19"/>
  <c r="T60" i="19"/>
  <c r="Y59" i="19"/>
  <c r="AD59" i="19"/>
  <c r="AI60" i="19"/>
  <c r="AN59" i="19"/>
  <c r="F55" i="19"/>
  <c r="Z58" i="19"/>
  <c r="Q58" i="19"/>
  <c r="AP58" i="19"/>
  <c r="P58" i="19"/>
  <c r="K58" i="19"/>
  <c r="L58" i="19"/>
  <c r="AJ59" i="19"/>
  <c r="V59" i="19"/>
  <c r="AE58" i="19"/>
  <c r="AF58" i="19"/>
  <c r="U59" i="19"/>
  <c r="AA58" i="19"/>
  <c r="G55" i="19"/>
  <c r="AO58" i="19"/>
  <c r="AK59" i="19"/>
  <c r="E58" i="19" l="1"/>
  <c r="D56" i="19"/>
  <c r="I59" i="19"/>
  <c r="AM59" i="19"/>
  <c r="AC59" i="19"/>
  <c r="AH60" i="19"/>
  <c r="X59" i="19"/>
  <c r="S60" i="19"/>
  <c r="N59" i="19"/>
  <c r="J60" i="19"/>
  <c r="O60" i="19"/>
  <c r="Y60" i="19"/>
  <c r="AD60" i="19"/>
  <c r="AN60" i="19"/>
  <c r="AO59" i="19"/>
  <c r="AK60" i="19"/>
  <c r="AE59" i="19"/>
  <c r="AF59" i="19"/>
  <c r="V60" i="19"/>
  <c r="F56" i="19"/>
  <c r="U60" i="19"/>
  <c r="AA59" i="19"/>
  <c r="P59" i="19"/>
  <c r="G56" i="19"/>
  <c r="AP59" i="19"/>
  <c r="K59" i="19"/>
  <c r="L59" i="19"/>
  <c r="AJ60" i="19"/>
  <c r="Z59" i="19"/>
  <c r="Q59" i="19"/>
  <c r="E59" i="19" l="1"/>
  <c r="D57" i="19"/>
  <c r="I60" i="19"/>
  <c r="AM60" i="19"/>
  <c r="AC60" i="19"/>
  <c r="X60" i="19"/>
  <c r="N60" i="19"/>
  <c r="G57" i="19"/>
  <c r="AA60" i="19"/>
  <c r="L60" i="19"/>
  <c r="K60" i="19"/>
  <c r="Z60" i="19"/>
  <c r="AE60" i="19"/>
  <c r="Q60" i="19"/>
  <c r="F57" i="19"/>
  <c r="AP60" i="19"/>
  <c r="P60" i="19"/>
  <c r="AO60" i="19"/>
  <c r="AF60" i="19"/>
  <c r="E60" i="19" l="1"/>
  <c r="D58" i="19"/>
  <c r="I85" i="17"/>
  <c r="J85" i="17"/>
  <c r="I86" i="17"/>
  <c r="J86" i="17"/>
  <c r="I87" i="17"/>
  <c r="J87" i="17"/>
  <c r="I88" i="17"/>
  <c r="J88" i="17"/>
  <c r="I89" i="17"/>
  <c r="J89" i="17"/>
  <c r="I90" i="17"/>
  <c r="J90" i="17"/>
  <c r="I91" i="17"/>
  <c r="J91" i="17"/>
  <c r="J84" i="17"/>
  <c r="J73" i="17"/>
  <c r="I84" i="17"/>
  <c r="I73" i="17"/>
  <c r="F58" i="19"/>
  <c r="G58" i="19"/>
  <c r="D59" i="19" l="1"/>
  <c r="BY37" i="17"/>
  <c r="BU37" i="17"/>
  <c r="BQ37" i="17"/>
  <c r="BM37" i="17"/>
  <c r="BI37" i="17"/>
  <c r="BE37" i="17"/>
  <c r="BA37" i="17"/>
  <c r="AW37" i="17"/>
  <c r="CC17" i="17"/>
  <c r="CD17" i="17"/>
  <c r="CC18" i="17"/>
  <c r="CD18" i="17"/>
  <c r="CC19" i="17"/>
  <c r="CD19" i="17"/>
  <c r="CC20" i="17"/>
  <c r="CD20" i="17"/>
  <c r="CC21" i="17"/>
  <c r="CD21" i="17"/>
  <c r="CC22" i="17"/>
  <c r="CD22" i="17"/>
  <c r="CD16" i="17"/>
  <c r="CC16" i="17"/>
  <c r="AU16" i="17"/>
  <c r="AQ16" i="17"/>
  <c r="CD23" i="17"/>
  <c r="CC23" i="17"/>
  <c r="BI10" i="17"/>
  <c r="AV16" i="17"/>
  <c r="AU17" i="17"/>
  <c r="AV17" i="17"/>
  <c r="AU18" i="17"/>
  <c r="AV18" i="17"/>
  <c r="AU19" i="17"/>
  <c r="AV19" i="17"/>
  <c r="AU20" i="17"/>
  <c r="AV20" i="17"/>
  <c r="AU21" i="17"/>
  <c r="AV21" i="17"/>
  <c r="AU22" i="17"/>
  <c r="AV22" i="17"/>
  <c r="AU23" i="17"/>
  <c r="AV23" i="17"/>
  <c r="AW7" i="17"/>
  <c r="AY7" i="17"/>
  <c r="BA7" i="17"/>
  <c r="BC7" i="17"/>
  <c r="BE7" i="17"/>
  <c r="BG7" i="17"/>
  <c r="BI7" i="17"/>
  <c r="BK7" i="17"/>
  <c r="BM7" i="17"/>
  <c r="BO7" i="17"/>
  <c r="BQ7" i="17"/>
  <c r="BS7" i="17"/>
  <c r="BU7" i="17"/>
  <c r="BW7" i="17"/>
  <c r="BY7" i="17"/>
  <c r="CA7" i="17"/>
  <c r="AW8" i="17"/>
  <c r="AY8" i="17"/>
  <c r="BA8" i="17"/>
  <c r="BC8" i="17"/>
  <c r="BE8" i="17"/>
  <c r="BG8" i="17"/>
  <c r="BI8" i="17"/>
  <c r="BK8" i="17"/>
  <c r="BM8" i="17"/>
  <c r="BO8" i="17"/>
  <c r="BQ8" i="17"/>
  <c r="BS8" i="17"/>
  <c r="BU8" i="17"/>
  <c r="BW8" i="17"/>
  <c r="BY8" i="17"/>
  <c r="CA8" i="17"/>
  <c r="AW9" i="17"/>
  <c r="AY9" i="17"/>
  <c r="BA9" i="17"/>
  <c r="BC9" i="17"/>
  <c r="BE9" i="17"/>
  <c r="BG9" i="17"/>
  <c r="BI9" i="17"/>
  <c r="BK9" i="17"/>
  <c r="BM9" i="17"/>
  <c r="BO9" i="17"/>
  <c r="BQ9" i="17"/>
  <c r="BS9" i="17"/>
  <c r="BU9" i="17"/>
  <c r="BW9" i="17"/>
  <c r="BY9" i="17"/>
  <c r="CA9" i="17"/>
  <c r="AW10" i="17"/>
  <c r="AY10" i="17"/>
  <c r="BA10" i="17"/>
  <c r="BC10" i="17"/>
  <c r="BE10" i="17"/>
  <c r="BG10" i="17"/>
  <c r="BK10" i="17"/>
  <c r="BM10" i="17"/>
  <c r="BO10" i="17"/>
  <c r="BQ10" i="17"/>
  <c r="BS10" i="17"/>
  <c r="BU10" i="17"/>
  <c r="BW10" i="17"/>
  <c r="BY10" i="17"/>
  <c r="CA10" i="17"/>
  <c r="AW11" i="17"/>
  <c r="AY11" i="17"/>
  <c r="BA11" i="17"/>
  <c r="BC11" i="17"/>
  <c r="BE11" i="17"/>
  <c r="BG11" i="17"/>
  <c r="BI11" i="17"/>
  <c r="BK11" i="17"/>
  <c r="BM11" i="17"/>
  <c r="BO11" i="17"/>
  <c r="BQ11" i="17"/>
  <c r="BS11" i="17"/>
  <c r="BU11" i="17"/>
  <c r="BW11" i="17"/>
  <c r="BY11" i="17"/>
  <c r="CA11" i="17"/>
  <c r="BA6" i="17"/>
  <c r="BC6" i="17"/>
  <c r="BE6" i="17"/>
  <c r="BG6" i="17"/>
  <c r="BI6" i="17"/>
  <c r="BK6" i="17"/>
  <c r="BM6" i="17"/>
  <c r="BO6" i="17"/>
  <c r="BQ6" i="17"/>
  <c r="BS6" i="17"/>
  <c r="BU6" i="17"/>
  <c r="BW6" i="17"/>
  <c r="BY6" i="17"/>
  <c r="CA6" i="17"/>
  <c r="AY6" i="17"/>
  <c r="AW6" i="17"/>
  <c r="K6" i="17"/>
  <c r="G59" i="19"/>
  <c r="F59" i="19"/>
  <c r="D60" i="19" l="1"/>
  <c r="AU46" i="17"/>
  <c r="AU57" i="17"/>
  <c r="AU44" i="17"/>
  <c r="AU55" i="17"/>
  <c r="AU42" i="17"/>
  <c r="AU53" i="17"/>
  <c r="AU40" i="17"/>
  <c r="AU51" i="17"/>
  <c r="AV45" i="17"/>
  <c r="AV56" i="17"/>
  <c r="AV43" i="17"/>
  <c r="AV54" i="17"/>
  <c r="AV41" i="17"/>
  <c r="AV52" i="17"/>
  <c r="AV27" i="17"/>
  <c r="AV50" i="17"/>
  <c r="AU45" i="17"/>
  <c r="AU56" i="17"/>
  <c r="AU31" i="17"/>
  <c r="AU54" i="17"/>
  <c r="AU41" i="17"/>
  <c r="AU52" i="17"/>
  <c r="AU39" i="17"/>
  <c r="AU50" i="17"/>
  <c r="AV34" i="17"/>
  <c r="AV57" i="17"/>
  <c r="AV44" i="17"/>
  <c r="AV55" i="17"/>
  <c r="AV30" i="17"/>
  <c r="AV53" i="17"/>
  <c r="AV28" i="17"/>
  <c r="AV51" i="17"/>
  <c r="AU33" i="17"/>
  <c r="AU29" i="17"/>
  <c r="AV46" i="17"/>
  <c r="AV40" i="17"/>
  <c r="AU34" i="17"/>
  <c r="AU30" i="17"/>
  <c r="AV33" i="17"/>
  <c r="AV29" i="17"/>
  <c r="AV39" i="17"/>
  <c r="AU43" i="17"/>
  <c r="AV32" i="17"/>
  <c r="AU32" i="17"/>
  <c r="AU28" i="17"/>
  <c r="AV31" i="17"/>
  <c r="AV42" i="17"/>
  <c r="AU27" i="17"/>
  <c r="AR17" i="17"/>
  <c r="AR18" i="17"/>
  <c r="AR19" i="17"/>
  <c r="AR20" i="17"/>
  <c r="AR21" i="17"/>
  <c r="AR22" i="17"/>
  <c r="AR23" i="17"/>
  <c r="AR16" i="17"/>
  <c r="I74" i="17"/>
  <c r="J74" i="17"/>
  <c r="I75" i="17"/>
  <c r="J75" i="17"/>
  <c r="I76" i="17"/>
  <c r="J76" i="17"/>
  <c r="I77" i="17"/>
  <c r="J77" i="17"/>
  <c r="I78" i="17"/>
  <c r="J78" i="17"/>
  <c r="I79" i="17"/>
  <c r="J79" i="17"/>
  <c r="I80" i="17"/>
  <c r="J80" i="17"/>
  <c r="L18" i="18"/>
  <c r="F60" i="19"/>
  <c r="G60" i="19"/>
  <c r="I63" i="17" l="1"/>
  <c r="J63" i="17"/>
  <c r="I64" i="17"/>
  <c r="J64" i="17"/>
  <c r="I65" i="17"/>
  <c r="J65" i="17"/>
  <c r="I66" i="17"/>
  <c r="J66" i="17"/>
  <c r="I67" i="17"/>
  <c r="J67" i="17"/>
  <c r="I68" i="17"/>
  <c r="J68" i="17"/>
  <c r="I69" i="17"/>
  <c r="J69" i="17"/>
  <c r="J62" i="17"/>
  <c r="J39" i="17"/>
  <c r="I62" i="17"/>
  <c r="I39" i="17"/>
  <c r="AM60" i="17"/>
  <c r="AI60" i="17"/>
  <c r="AE60" i="17"/>
  <c r="AA60" i="17"/>
  <c r="W60" i="17"/>
  <c r="S60" i="17"/>
  <c r="O60" i="17"/>
  <c r="K60" i="17"/>
  <c r="I51" i="17"/>
  <c r="J51" i="17"/>
  <c r="I52" i="17"/>
  <c r="J52" i="17"/>
  <c r="I53" i="17"/>
  <c r="J53" i="17"/>
  <c r="I54" i="17"/>
  <c r="J54" i="17"/>
  <c r="I55" i="17"/>
  <c r="J55" i="17"/>
  <c r="I56" i="17"/>
  <c r="J56" i="17"/>
  <c r="I57" i="17"/>
  <c r="J57" i="17"/>
  <c r="J50" i="17"/>
  <c r="I50" i="17"/>
  <c r="AO11" i="17"/>
  <c r="AM11" i="17"/>
  <c r="AK11" i="17"/>
  <c r="AI11" i="17"/>
  <c r="AG11" i="17"/>
  <c r="AE11" i="17"/>
  <c r="AC11" i="17"/>
  <c r="AA11" i="17"/>
  <c r="Y11" i="17"/>
  <c r="W11" i="17"/>
  <c r="U11" i="17"/>
  <c r="S11" i="17"/>
  <c r="Q11" i="17"/>
  <c r="O11" i="17"/>
  <c r="AO10" i="17"/>
  <c r="AM10" i="17"/>
  <c r="AK10" i="17"/>
  <c r="AI10" i="17"/>
  <c r="AG10" i="17"/>
  <c r="AE10" i="17"/>
  <c r="AC10" i="17"/>
  <c r="AA10" i="17"/>
  <c r="Y10" i="17"/>
  <c r="W10" i="17"/>
  <c r="U10" i="17"/>
  <c r="S10" i="17"/>
  <c r="Q10" i="17"/>
  <c r="O10" i="17"/>
  <c r="AO9" i="17"/>
  <c r="AM9" i="17"/>
  <c r="AK9" i="17"/>
  <c r="AI9" i="17"/>
  <c r="AG9" i="17"/>
  <c r="AE9" i="17"/>
  <c r="AC9" i="17"/>
  <c r="AA9" i="17"/>
  <c r="Y9" i="17"/>
  <c r="W9" i="17"/>
  <c r="U9" i="17"/>
  <c r="S9" i="17"/>
  <c r="Q9" i="17"/>
  <c r="O9" i="17"/>
  <c r="AO8" i="17"/>
  <c r="AM8" i="17"/>
  <c r="AK8" i="17"/>
  <c r="AI8" i="17"/>
  <c r="AG8" i="17"/>
  <c r="AE8" i="17"/>
  <c r="AC8" i="17"/>
  <c r="AA8" i="17"/>
  <c r="Y8" i="17"/>
  <c r="W8" i="17"/>
  <c r="U8" i="17"/>
  <c r="S8" i="17"/>
  <c r="Q8" i="17"/>
  <c r="O8" i="17"/>
  <c r="AO7" i="17"/>
  <c r="AM7" i="17"/>
  <c r="AK7" i="17"/>
  <c r="AI7" i="17"/>
  <c r="AG7" i="17"/>
  <c r="AE7" i="17"/>
  <c r="AC7" i="17"/>
  <c r="AA7" i="17"/>
  <c r="Y7" i="17"/>
  <c r="W7" i="17"/>
  <c r="U7" i="17"/>
  <c r="S7" i="17"/>
  <c r="Q7" i="17"/>
  <c r="O7" i="17"/>
  <c r="AO6" i="17"/>
  <c r="AM6" i="17"/>
  <c r="AK6" i="17"/>
  <c r="AI6" i="17"/>
  <c r="AG6" i="17"/>
  <c r="AE6" i="17"/>
  <c r="AC6" i="17"/>
  <c r="AA6" i="17"/>
  <c r="Y6" i="17"/>
  <c r="W6" i="17"/>
  <c r="U6" i="17"/>
  <c r="S6" i="17"/>
  <c r="Q6" i="17"/>
  <c r="O6" i="17"/>
  <c r="M6" i="17"/>
  <c r="K7" i="17"/>
  <c r="M7" i="17"/>
  <c r="K8" i="17"/>
  <c r="M8" i="17"/>
  <c r="K9" i="17"/>
  <c r="M9" i="17"/>
  <c r="K10" i="17"/>
  <c r="M10" i="17"/>
  <c r="K11" i="17"/>
  <c r="M11" i="17"/>
  <c r="AQ17" i="17"/>
  <c r="AQ19" i="17"/>
  <c r="AQ20" i="17"/>
  <c r="AQ21" i="17"/>
  <c r="AQ22" i="17"/>
  <c r="AQ23" i="17"/>
  <c r="AQ18" i="17"/>
  <c r="I18" i="17"/>
  <c r="O37" i="17"/>
  <c r="S37" i="17"/>
  <c r="W37" i="17"/>
  <c r="AA37" i="17"/>
  <c r="AE37" i="17"/>
  <c r="AI37" i="17"/>
  <c r="AM37" i="17"/>
  <c r="K37" i="17"/>
  <c r="AA4" i="16"/>
  <c r="AA10" i="16"/>
  <c r="AA5" i="16"/>
  <c r="AA8" i="16"/>
  <c r="AA6" i="16"/>
  <c r="AA9" i="16"/>
  <c r="AA11" i="16"/>
  <c r="AA7" i="16"/>
  <c r="AT12" i="17" l="1"/>
  <c r="AT11" i="17"/>
  <c r="AT10" i="17"/>
  <c r="AT9" i="17"/>
  <c r="AT8" i="17"/>
  <c r="AT7" i="17"/>
  <c r="AT6" i="17"/>
  <c r="AT5" i="17"/>
  <c r="AT50" i="17" s="1"/>
  <c r="O5" i="17"/>
  <c r="R35" i="16"/>
  <c r="J46" i="17"/>
  <c r="I46" i="17"/>
  <c r="J45" i="17"/>
  <c r="I45" i="17"/>
  <c r="J44" i="17"/>
  <c r="I44" i="17"/>
  <c r="J43" i="17"/>
  <c r="I43" i="17"/>
  <c r="J42" i="17"/>
  <c r="I42" i="17"/>
  <c r="J41" i="17"/>
  <c r="I41" i="17"/>
  <c r="J40" i="17"/>
  <c r="I40" i="17"/>
  <c r="J34" i="17"/>
  <c r="I34" i="17"/>
  <c r="J33" i="17"/>
  <c r="I33" i="17"/>
  <c r="J32" i="17"/>
  <c r="I32" i="17"/>
  <c r="J31" i="17"/>
  <c r="I31" i="17"/>
  <c r="J30" i="17"/>
  <c r="I30" i="17"/>
  <c r="J29" i="17"/>
  <c r="I29" i="17"/>
  <c r="J28" i="17"/>
  <c r="I28" i="17"/>
  <c r="J27" i="17"/>
  <c r="I27" i="17"/>
  <c r="J23" i="17"/>
  <c r="I23" i="17"/>
  <c r="J22" i="17"/>
  <c r="I22" i="17"/>
  <c r="J21" i="17"/>
  <c r="I21" i="17"/>
  <c r="J20" i="17"/>
  <c r="I20" i="17"/>
  <c r="J19" i="17"/>
  <c r="I19" i="17"/>
  <c r="J18" i="17"/>
  <c r="J17" i="17"/>
  <c r="I17" i="17"/>
  <c r="J16" i="17"/>
  <c r="I16" i="17"/>
  <c r="O3" i="3"/>
  <c r="N3" i="3"/>
  <c r="P6" i="3"/>
  <c r="O6" i="3"/>
  <c r="N6" i="3"/>
  <c r="M6" i="3"/>
  <c r="N4" i="3"/>
  <c r="N5" i="3"/>
  <c r="O5" i="3"/>
  <c r="P8" i="3"/>
  <c r="O4" i="3"/>
  <c r="O8" i="3"/>
  <c r="N8" i="3"/>
  <c r="M8" i="3"/>
  <c r="P7" i="3"/>
  <c r="O7" i="3"/>
  <c r="N7" i="3"/>
  <c r="M7" i="3"/>
  <c r="AC9" i="16"/>
  <c r="AC6" i="16"/>
  <c r="AK8" i="16"/>
  <c r="AC8" i="16"/>
  <c r="AC4" i="16"/>
  <c r="AC5" i="16"/>
  <c r="AC10" i="16"/>
  <c r="AC7" i="16"/>
  <c r="AT42" i="17" l="1"/>
  <c r="AT53" i="17"/>
  <c r="AT46" i="17"/>
  <c r="AT57" i="17"/>
  <c r="AT43" i="17"/>
  <c r="AT54" i="17"/>
  <c r="AT40" i="17"/>
  <c r="AT51" i="17"/>
  <c r="AT44" i="17"/>
  <c r="AT55" i="17"/>
  <c r="AT41" i="17"/>
  <c r="AT52" i="17"/>
  <c r="AT45" i="17"/>
  <c r="AT56" i="17"/>
  <c r="AT27" i="17"/>
  <c r="AT39" i="17"/>
  <c r="O72" i="17"/>
  <c r="O83" i="17"/>
  <c r="AT20" i="17"/>
  <c r="AT31" i="17"/>
  <c r="AT17" i="17"/>
  <c r="AT28" i="17"/>
  <c r="AT21" i="17"/>
  <c r="AT32" i="17"/>
  <c r="AT18" i="17"/>
  <c r="AT29" i="17"/>
  <c r="AT22" i="17"/>
  <c r="AT33" i="17"/>
  <c r="AT19" i="17"/>
  <c r="AT30" i="17"/>
  <c r="AT23" i="17"/>
  <c r="AT34" i="17"/>
  <c r="AT16" i="17"/>
  <c r="O61" i="17"/>
  <c r="Y24" i="14"/>
  <c r="Y12" i="14"/>
  <c r="Y14" i="14"/>
  <c r="Y15" i="14"/>
  <c r="Y16" i="14"/>
  <c r="Y20" i="14"/>
  <c r="Y21" i="14"/>
  <c r="Y22" i="14"/>
  <c r="Y23" i="14"/>
  <c r="Y26" i="14"/>
  <c r="Y27" i="14"/>
  <c r="Y11" i="14"/>
  <c r="Y10" i="14"/>
  <c r="Y9" i="14"/>
  <c r="Y8" i="14"/>
  <c r="Y7" i="14"/>
  <c r="Y6" i="14"/>
  <c r="Y5" i="14"/>
  <c r="Y4" i="14"/>
  <c r="P5" i="11"/>
  <c r="O5" i="11"/>
  <c r="M5" i="11"/>
  <c r="N5" i="11"/>
  <c r="K5" i="11"/>
  <c r="J5" i="11"/>
  <c r="AF8" i="16"/>
  <c r="AD10" i="16"/>
  <c r="AD7" i="16"/>
  <c r="AD6" i="16"/>
  <c r="AD8" i="16"/>
  <c r="AD9" i="16"/>
  <c r="AF7" i="16"/>
  <c r="AF5" i="16"/>
  <c r="AF6" i="16"/>
  <c r="AD4" i="16"/>
  <c r="AF9" i="16"/>
  <c r="AD5" i="16"/>
  <c r="AH5" i="16"/>
  <c r="AF10" i="16"/>
  <c r="AF4" i="16"/>
  <c r="K17" i="18" l="1"/>
  <c r="J17" i="18"/>
  <c r="L8" i="18"/>
  <c r="K8" i="18"/>
  <c r="I5" i="18"/>
  <c r="J8" i="18"/>
  <c r="I8" i="18"/>
  <c r="B9" i="16"/>
  <c r="B7" i="16"/>
  <c r="B4" i="16"/>
  <c r="B6" i="16"/>
  <c r="B11" i="16"/>
  <c r="B5" i="16"/>
  <c r="B10" i="16"/>
  <c r="B8" i="16"/>
  <c r="BY5" i="17" l="1"/>
  <c r="BY49" i="17" s="1"/>
  <c r="BU5" i="17"/>
  <c r="BU49" i="17" s="1"/>
  <c r="BQ5" i="17"/>
  <c r="BQ49" i="17" s="1"/>
  <c r="BM5" i="17"/>
  <c r="BM49" i="17" s="1"/>
  <c r="BI5" i="17"/>
  <c r="BI49" i="17" s="1"/>
  <c r="BE5" i="17"/>
  <c r="BE49" i="17" s="1"/>
  <c r="BA5" i="17"/>
  <c r="BA49" i="17" s="1"/>
  <c r="AW5" i="17"/>
  <c r="AW49" i="17" s="1"/>
  <c r="H7" i="17"/>
  <c r="H11" i="17"/>
  <c r="H12" i="17"/>
  <c r="H8" i="17"/>
  <c r="H10" i="17"/>
  <c r="H6" i="17"/>
  <c r="H9" i="17"/>
  <c r="H5" i="17"/>
  <c r="AM5" i="17"/>
  <c r="AM83" i="17" s="1"/>
  <c r="AI5" i="17"/>
  <c r="AI83" i="17" s="1"/>
  <c r="AE5" i="17"/>
  <c r="AE83" i="17" s="1"/>
  <c r="AA5" i="17"/>
  <c r="W5" i="17"/>
  <c r="W83" i="17" s="1"/>
  <c r="S5" i="17"/>
  <c r="S83" i="17" s="1"/>
  <c r="K5" i="17"/>
  <c r="K83" i="17" s="1"/>
  <c r="N35" i="16"/>
  <c r="B41" i="16"/>
  <c r="AQ45" i="16"/>
  <c r="AN45" i="16"/>
  <c r="AK45" i="16"/>
  <c r="AH45" i="16"/>
  <c r="AE45" i="16"/>
  <c r="AB45" i="16"/>
  <c r="Y45" i="16"/>
  <c r="V45" i="16"/>
  <c r="T45" i="16"/>
  <c r="R45" i="16"/>
  <c r="P45" i="16"/>
  <c r="N45" i="16"/>
  <c r="L45" i="16"/>
  <c r="J45" i="16"/>
  <c r="H45" i="16"/>
  <c r="F45" i="16"/>
  <c r="B47" i="16"/>
  <c r="B48" i="16"/>
  <c r="B49" i="16"/>
  <c r="B50" i="16"/>
  <c r="B51" i="16"/>
  <c r="B52" i="16"/>
  <c r="B53" i="16"/>
  <c r="B46" i="16"/>
  <c r="AD35" i="16"/>
  <c r="Z35" i="16"/>
  <c r="V35" i="16"/>
  <c r="B37" i="16"/>
  <c r="B38" i="16"/>
  <c r="B39" i="16"/>
  <c r="B40" i="16"/>
  <c r="B42" i="16"/>
  <c r="B43" i="16"/>
  <c r="B36" i="16"/>
  <c r="B27" i="16"/>
  <c r="B26" i="16"/>
  <c r="B25" i="16"/>
  <c r="B24" i="16"/>
  <c r="B23" i="16"/>
  <c r="B22" i="16"/>
  <c r="B21" i="16"/>
  <c r="B20" i="16"/>
  <c r="AP19" i="16"/>
  <c r="AL19" i="16"/>
  <c r="AH19" i="16"/>
  <c r="AD19" i="16"/>
  <c r="Z19" i="16"/>
  <c r="V19" i="16"/>
  <c r="R19" i="16"/>
  <c r="N19" i="16"/>
  <c r="G21" i="15"/>
  <c r="G22" i="15"/>
  <c r="F22" i="15"/>
  <c r="J5" i="15"/>
  <c r="J4" i="15"/>
  <c r="G4" i="15"/>
  <c r="F4" i="15"/>
  <c r="E4" i="15"/>
  <c r="D4" i="15"/>
  <c r="C4" i="15"/>
  <c r="E22" i="15"/>
  <c r="D22" i="15"/>
  <c r="C22" i="15"/>
  <c r="F21" i="15"/>
  <c r="E21" i="15"/>
  <c r="D21" i="15"/>
  <c r="C21" i="15"/>
  <c r="F20" i="15"/>
  <c r="E20" i="15"/>
  <c r="D20" i="15"/>
  <c r="C20" i="15"/>
  <c r="G19" i="15"/>
  <c r="F19" i="15"/>
  <c r="E19" i="15"/>
  <c r="D19" i="15"/>
  <c r="C19" i="15"/>
  <c r="G18" i="15"/>
  <c r="F18" i="15"/>
  <c r="E18" i="15"/>
  <c r="D18" i="15"/>
  <c r="C18" i="15"/>
  <c r="G17" i="15"/>
  <c r="F17" i="15"/>
  <c r="E17" i="15"/>
  <c r="D17" i="15"/>
  <c r="C17" i="15"/>
  <c r="G16" i="15"/>
  <c r="E16" i="15"/>
  <c r="G15" i="15"/>
  <c r="F15" i="15"/>
  <c r="E15" i="15"/>
  <c r="C15" i="15"/>
  <c r="D15" i="15"/>
  <c r="G14" i="15"/>
  <c r="F14" i="15"/>
  <c r="E14" i="15"/>
  <c r="D14" i="15"/>
  <c r="C14" i="15"/>
  <c r="G13" i="15"/>
  <c r="F13" i="15"/>
  <c r="E13" i="15"/>
  <c r="D13" i="15"/>
  <c r="C13" i="15"/>
  <c r="G12" i="15"/>
  <c r="F12" i="15"/>
  <c r="E12" i="15"/>
  <c r="D12" i="15"/>
  <c r="F11" i="15"/>
  <c r="E11" i="15"/>
  <c r="D11" i="15"/>
  <c r="C11" i="15"/>
  <c r="G10" i="15"/>
  <c r="F10" i="15"/>
  <c r="E10" i="15"/>
  <c r="D10" i="15"/>
  <c r="C10" i="15"/>
  <c r="G9" i="15"/>
  <c r="F9" i="15"/>
  <c r="E9" i="15"/>
  <c r="D9" i="15"/>
  <c r="C9" i="15"/>
  <c r="G8" i="15"/>
  <c r="F8" i="15"/>
  <c r="E8" i="15"/>
  <c r="G11" i="15"/>
  <c r="G20" i="15"/>
  <c r="F16" i="15"/>
  <c r="D16" i="15"/>
  <c r="C16" i="15"/>
  <c r="C12" i="15"/>
  <c r="D8" i="15"/>
  <c r="C8" i="15"/>
  <c r="G7" i="15"/>
  <c r="F7" i="15"/>
  <c r="E7" i="15"/>
  <c r="D7" i="15"/>
  <c r="C7" i="15"/>
  <c r="G6" i="15"/>
  <c r="F6" i="15"/>
  <c r="E6" i="15"/>
  <c r="D6" i="15"/>
  <c r="C6" i="15"/>
  <c r="G5" i="15"/>
  <c r="F5" i="15"/>
  <c r="E5" i="15"/>
  <c r="D5" i="15"/>
  <c r="C5" i="15"/>
  <c r="J22" i="15"/>
  <c r="J21" i="15"/>
  <c r="J20" i="15"/>
  <c r="J19" i="15"/>
  <c r="J18" i="15"/>
  <c r="J17" i="15"/>
  <c r="J16" i="15"/>
  <c r="J15" i="15"/>
  <c r="J14" i="15"/>
  <c r="J13" i="15"/>
  <c r="J12" i="15"/>
  <c r="J11" i="15"/>
  <c r="J10" i="15"/>
  <c r="J9" i="15"/>
  <c r="J8" i="15"/>
  <c r="J7" i="15"/>
  <c r="J6" i="15"/>
  <c r="AM10" i="16"/>
  <c r="AI8" i="16"/>
  <c r="AI10" i="16"/>
  <c r="AO11" i="16"/>
  <c r="AI11" i="16"/>
  <c r="AM9" i="16"/>
  <c r="AO9" i="16"/>
  <c r="AN8" i="16"/>
  <c r="AN6" i="16"/>
  <c r="AI7" i="16"/>
  <c r="AM7" i="16"/>
  <c r="AP7" i="16"/>
  <c r="AO6" i="16"/>
  <c r="AK9" i="16"/>
  <c r="AK11" i="16"/>
  <c r="AO10" i="16"/>
  <c r="AL9" i="16"/>
  <c r="AO7" i="16"/>
  <c r="AI4" i="16"/>
  <c r="AI6" i="16"/>
  <c r="AJ11" i="16"/>
  <c r="AC11" i="16"/>
  <c r="AP11" i="16"/>
  <c r="AJ8" i="16"/>
  <c r="AN9" i="16"/>
  <c r="AM8" i="16"/>
  <c r="AP5" i="16"/>
  <c r="AK7" i="16"/>
  <c r="AK6" i="16"/>
  <c r="AP4" i="16"/>
  <c r="AM6" i="16"/>
  <c r="AL10" i="16"/>
  <c r="AN10" i="16"/>
  <c r="AP10" i="16"/>
  <c r="AL11" i="16"/>
  <c r="AI9" i="16"/>
  <c r="AJ10" i="16"/>
  <c r="AJ9" i="16"/>
  <c r="AP9" i="16"/>
  <c r="O7" i="16"/>
  <c r="K4" i="16"/>
  <c r="AP6" i="16"/>
  <c r="AL7" i="16"/>
  <c r="AN7" i="16"/>
  <c r="AJ6" i="16"/>
  <c r="AN11" i="16"/>
  <c r="AM11" i="16"/>
  <c r="AO8" i="16"/>
  <c r="AP8" i="16"/>
  <c r="AL6" i="16"/>
  <c r="J4" i="16"/>
  <c r="AJ7" i="16"/>
  <c r="AL8" i="16"/>
  <c r="AK10" i="16"/>
  <c r="N24" i="16" l="1"/>
  <c r="V24" i="16"/>
  <c r="AD24" i="16"/>
  <c r="AL24" i="16"/>
  <c r="T24" i="16"/>
  <c r="AJ24" i="16"/>
  <c r="P24" i="16"/>
  <c r="X24" i="16"/>
  <c r="AF24" i="16"/>
  <c r="AN24" i="16"/>
  <c r="R24" i="16"/>
  <c r="Z24" i="16"/>
  <c r="AH24" i="16"/>
  <c r="AP24" i="16"/>
  <c r="AB24" i="16"/>
  <c r="AR24" i="16"/>
  <c r="N25" i="16"/>
  <c r="V25" i="16"/>
  <c r="AD25" i="16"/>
  <c r="AL25" i="16"/>
  <c r="T25" i="16"/>
  <c r="AJ25" i="16"/>
  <c r="AR25" i="16"/>
  <c r="P25" i="16"/>
  <c r="X25" i="16"/>
  <c r="AF25" i="16"/>
  <c r="AN25" i="16"/>
  <c r="R25" i="16"/>
  <c r="Z25" i="16"/>
  <c r="AH25" i="16"/>
  <c r="AP25" i="16"/>
  <c r="AB25" i="16"/>
  <c r="AH23" i="16"/>
  <c r="AP23" i="16"/>
  <c r="AJ23" i="16"/>
  <c r="AR23" i="16"/>
  <c r="AL23" i="16"/>
  <c r="AN23" i="16"/>
  <c r="AW52" i="17"/>
  <c r="AY52" i="17"/>
  <c r="AW57" i="17"/>
  <c r="AW56" i="17"/>
  <c r="AW55" i="17"/>
  <c r="AW54" i="17"/>
  <c r="AW51" i="17"/>
  <c r="AY51" i="17"/>
  <c r="AY57" i="17"/>
  <c r="AY56" i="17"/>
  <c r="AY55" i="17"/>
  <c r="AY54" i="17"/>
  <c r="BQ57" i="17"/>
  <c r="BS57" i="17"/>
  <c r="BQ56" i="17"/>
  <c r="BS56" i="17"/>
  <c r="BQ55" i="17"/>
  <c r="BS55" i="17"/>
  <c r="BQ54" i="17"/>
  <c r="BS54" i="17"/>
  <c r="BQ53" i="17"/>
  <c r="BQ51" i="17"/>
  <c r="BQ52" i="17"/>
  <c r="BS52" i="17"/>
  <c r="BS53" i="17"/>
  <c r="BS51" i="17"/>
  <c r="BG57" i="17"/>
  <c r="BG56" i="17"/>
  <c r="BG55" i="17"/>
  <c r="BG54" i="17"/>
  <c r="BE52" i="17"/>
  <c r="BG52" i="17"/>
  <c r="BE57" i="17"/>
  <c r="BE56" i="17"/>
  <c r="BE55" i="17"/>
  <c r="BE54" i="17"/>
  <c r="BE51" i="17"/>
  <c r="BG51" i="17"/>
  <c r="BU52" i="17"/>
  <c r="BU57" i="17"/>
  <c r="BU56" i="17"/>
  <c r="BU55" i="17"/>
  <c r="BU54" i="17"/>
  <c r="BU53" i="17"/>
  <c r="BU51" i="17"/>
  <c r="BW57" i="17"/>
  <c r="BW56" i="17"/>
  <c r="BW55" i="17"/>
  <c r="BW54" i="17"/>
  <c r="BW52" i="17"/>
  <c r="BW53" i="17"/>
  <c r="BW51" i="17"/>
  <c r="BM51" i="17"/>
  <c r="BM52" i="17"/>
  <c r="BO52" i="17"/>
  <c r="BM57" i="17"/>
  <c r="BM56" i="17"/>
  <c r="BM55" i="17"/>
  <c r="BM54" i="17"/>
  <c r="BO51" i="17"/>
  <c r="BO57" i="17"/>
  <c r="BO56" i="17"/>
  <c r="BO55" i="17"/>
  <c r="BO54" i="17"/>
  <c r="BA52" i="17"/>
  <c r="BC52" i="17"/>
  <c r="BA51" i="17"/>
  <c r="BC51" i="17"/>
  <c r="BC54" i="17"/>
  <c r="BA57" i="17"/>
  <c r="BC57" i="17"/>
  <c r="BA56" i="17"/>
  <c r="BC56" i="17"/>
  <c r="BA55" i="17"/>
  <c r="BC55" i="17"/>
  <c r="BA54" i="17"/>
  <c r="BK57" i="17"/>
  <c r="BK56" i="17"/>
  <c r="BK55" i="17"/>
  <c r="BK54" i="17"/>
  <c r="BI52" i="17"/>
  <c r="BK52" i="17"/>
  <c r="BI51" i="17"/>
  <c r="BK51" i="17"/>
  <c r="BI57" i="17"/>
  <c r="BI56" i="17"/>
  <c r="BI55" i="17"/>
  <c r="BI54" i="17"/>
  <c r="BY52" i="17"/>
  <c r="BY53" i="17"/>
  <c r="BY51" i="17"/>
  <c r="BY57" i="17"/>
  <c r="CA57" i="17"/>
  <c r="BY56" i="17"/>
  <c r="CA56" i="17"/>
  <c r="BY55" i="17"/>
  <c r="CA55" i="17"/>
  <c r="BY54" i="17"/>
  <c r="CA54" i="17"/>
  <c r="CA52" i="17"/>
  <c r="CA53" i="17"/>
  <c r="CA51" i="17"/>
  <c r="BO50" i="17"/>
  <c r="BM50" i="17"/>
  <c r="BA50" i="17"/>
  <c r="BC50" i="17"/>
  <c r="BQ50" i="17"/>
  <c r="BS50" i="17"/>
  <c r="BE50" i="17"/>
  <c r="BG50" i="17"/>
  <c r="BW50" i="17"/>
  <c r="BU50" i="17"/>
  <c r="BI50" i="17"/>
  <c r="BK50" i="17"/>
  <c r="CA50" i="17"/>
  <c r="BY50" i="17"/>
  <c r="AW50" i="17"/>
  <c r="AY50" i="17"/>
  <c r="AA26" i="17"/>
  <c r="AA83" i="17"/>
  <c r="Y47" i="16"/>
  <c r="V47" i="16"/>
  <c r="N50" i="16"/>
  <c r="T53" i="16"/>
  <c r="L49" i="16"/>
  <c r="R52" i="16"/>
  <c r="J48" i="16"/>
  <c r="P51" i="16"/>
  <c r="H47" i="16"/>
  <c r="F46" i="16"/>
  <c r="AW15" i="17"/>
  <c r="AW38" i="17"/>
  <c r="AW26" i="17"/>
  <c r="BM15" i="17"/>
  <c r="BM38" i="17"/>
  <c r="BM26" i="17"/>
  <c r="BA15" i="17"/>
  <c r="BA38" i="17"/>
  <c r="BA26" i="17"/>
  <c r="BQ15" i="17"/>
  <c r="BQ38" i="17"/>
  <c r="BQ26" i="17"/>
  <c r="BE15" i="17"/>
  <c r="BE38" i="17"/>
  <c r="BE26" i="17"/>
  <c r="BU15" i="17"/>
  <c r="BU38" i="17"/>
  <c r="BU26" i="17"/>
  <c r="BI15" i="17"/>
  <c r="BI38" i="17"/>
  <c r="BI26" i="17"/>
  <c r="BY15" i="17"/>
  <c r="BY38" i="17"/>
  <c r="BY26" i="17"/>
  <c r="AA38" i="17"/>
  <c r="H66" i="17"/>
  <c r="H77" i="17"/>
  <c r="H63" i="17"/>
  <c r="H74" i="17"/>
  <c r="H68" i="17"/>
  <c r="H79" i="17"/>
  <c r="H65" i="17"/>
  <c r="H76" i="17"/>
  <c r="H69" i="17"/>
  <c r="H80" i="17"/>
  <c r="H67" i="17"/>
  <c r="H78" i="17"/>
  <c r="H64" i="17"/>
  <c r="H75" i="17"/>
  <c r="H62" i="17"/>
  <c r="H73" i="17"/>
  <c r="K61" i="17"/>
  <c r="K72" i="17"/>
  <c r="AE61" i="17"/>
  <c r="AE72" i="17"/>
  <c r="AA61" i="17"/>
  <c r="AA72" i="17"/>
  <c r="S61" i="17"/>
  <c r="S72" i="17"/>
  <c r="AI61" i="17"/>
  <c r="AI72" i="17"/>
  <c r="W61" i="17"/>
  <c r="W72" i="17"/>
  <c r="AM61" i="17"/>
  <c r="AM72" i="17"/>
  <c r="S38" i="17"/>
  <c r="S49" i="17"/>
  <c r="K38" i="17"/>
  <c r="K49" i="17"/>
  <c r="S15" i="17"/>
  <c r="S26" i="17"/>
  <c r="K15" i="17"/>
  <c r="K26" i="17"/>
  <c r="H50" i="17"/>
  <c r="AH35" i="16"/>
  <c r="AL35" i="16"/>
  <c r="AP35" i="16"/>
  <c r="AH9" i="16"/>
  <c r="AE10" i="16"/>
  <c r="AH10" i="16"/>
  <c r="AG8" i="16"/>
  <c r="AE4" i="16"/>
  <c r="AE6" i="16"/>
  <c r="AD11" i="16"/>
  <c r="AG10" i="16"/>
  <c r="AE9" i="16"/>
  <c r="AH8" i="16"/>
  <c r="AE8" i="16"/>
  <c r="AG4" i="16"/>
  <c r="AG6" i="16"/>
  <c r="AH7" i="16"/>
  <c r="AF11" i="16"/>
  <c r="AG9" i="16"/>
  <c r="AH6" i="16"/>
  <c r="AH11" i="16"/>
  <c r="AG11" i="16"/>
  <c r="AE11" i="16"/>
  <c r="AH4" i="16"/>
  <c r="AE7" i="16"/>
  <c r="AG7" i="16"/>
  <c r="L53" i="16" l="1"/>
  <c r="L52" i="16"/>
  <c r="L51" i="16"/>
  <c r="J53" i="16"/>
  <c r="J52" i="16"/>
  <c r="J51" i="16"/>
  <c r="F53" i="16"/>
  <c r="F52" i="16"/>
  <c r="F51" i="16"/>
  <c r="AH52" i="16"/>
  <c r="R46" i="16"/>
  <c r="AB52" i="16"/>
  <c r="V52" i="16"/>
  <c r="R50" i="16"/>
  <c r="R53" i="16"/>
  <c r="R49" i="16"/>
  <c r="R48" i="16"/>
  <c r="R51" i="16"/>
  <c r="Y52" i="16"/>
  <c r="AE52" i="16"/>
  <c r="H52" i="16"/>
  <c r="R47" i="16"/>
  <c r="N53" i="16"/>
  <c r="N52" i="16"/>
  <c r="N51" i="16"/>
  <c r="Y53" i="16"/>
  <c r="AE53" i="16"/>
  <c r="T47" i="16"/>
  <c r="AH53" i="16"/>
  <c r="AB53" i="16"/>
  <c r="V53" i="16"/>
  <c r="T46" i="16"/>
  <c r="T50" i="16"/>
  <c r="H53" i="16"/>
  <c r="T49" i="16"/>
  <c r="T52" i="16"/>
  <c r="T48" i="16"/>
  <c r="T51" i="16"/>
  <c r="AB51" i="16"/>
  <c r="V51" i="16"/>
  <c r="P53" i="16"/>
  <c r="P52" i="16"/>
  <c r="P48" i="16"/>
  <c r="P50" i="16"/>
  <c r="P49" i="16"/>
  <c r="P46" i="16"/>
  <c r="Y51" i="16"/>
  <c r="AE51" i="16"/>
  <c r="P47" i="16"/>
  <c r="AH51" i="16"/>
  <c r="H51" i="16"/>
  <c r="BK40" i="17"/>
  <c r="BI40" i="17"/>
  <c r="BA40" i="17"/>
  <c r="BC40" i="17"/>
  <c r="BU40" i="17"/>
  <c r="BW40" i="17"/>
  <c r="BO40" i="17"/>
  <c r="BM40" i="17"/>
  <c r="BY40" i="17"/>
  <c r="CA40" i="17"/>
  <c r="BQ40" i="17"/>
  <c r="BS40" i="17"/>
  <c r="BE40" i="17"/>
  <c r="BG40" i="17"/>
  <c r="AW40" i="17"/>
  <c r="AY40" i="17"/>
  <c r="J50" i="16"/>
  <c r="L50" i="16"/>
  <c r="F50" i="16"/>
  <c r="N49" i="16"/>
  <c r="N46" i="16"/>
  <c r="N47" i="16"/>
  <c r="H50" i="16"/>
  <c r="V50" i="16"/>
  <c r="N48" i="16"/>
  <c r="Y50" i="16"/>
  <c r="V48" i="16"/>
  <c r="Y48" i="16"/>
  <c r="V49" i="16"/>
  <c r="Y49" i="16"/>
  <c r="J49" i="16"/>
  <c r="J47" i="16"/>
  <c r="H48" i="16"/>
  <c r="L48" i="16"/>
  <c r="H49" i="16"/>
  <c r="L47" i="16"/>
  <c r="F49" i="16"/>
  <c r="F48" i="16"/>
  <c r="F47" i="16"/>
  <c r="J46" i="16"/>
  <c r="L46" i="16"/>
  <c r="H46" i="16"/>
  <c r="AY20" i="17"/>
  <c r="BY28" i="17"/>
  <c r="BY30" i="17"/>
  <c r="BY42" i="17" s="1"/>
  <c r="BY31" i="17"/>
  <c r="BY43" i="17" s="1"/>
  <c r="BY32" i="17"/>
  <c r="BY44" i="17" s="1"/>
  <c r="BY34" i="17"/>
  <c r="BY46" i="17" s="1"/>
  <c r="CA28" i="17"/>
  <c r="CA30" i="17"/>
  <c r="CA42" i="17" s="1"/>
  <c r="CA31" i="17"/>
  <c r="CA43" i="17" s="1"/>
  <c r="CA32" i="17"/>
  <c r="CA44" i="17" s="1"/>
  <c r="CA34" i="17"/>
  <c r="CA46" i="17" s="1"/>
  <c r="BU28" i="17"/>
  <c r="BU30" i="17"/>
  <c r="BU42" i="17" s="1"/>
  <c r="BU31" i="17"/>
  <c r="BU43" i="17" s="1"/>
  <c r="BU32" i="17"/>
  <c r="BU44" i="17" s="1"/>
  <c r="BU34" i="17"/>
  <c r="BU46" i="17" s="1"/>
  <c r="BW28" i="17"/>
  <c r="BW30" i="17"/>
  <c r="BW42" i="17" s="1"/>
  <c r="BW31" i="17"/>
  <c r="BW43" i="17" s="1"/>
  <c r="BW32" i="17"/>
  <c r="BW44" i="17" s="1"/>
  <c r="BW34" i="17"/>
  <c r="BW46" i="17" s="1"/>
  <c r="BQ28" i="17"/>
  <c r="BQ30" i="17"/>
  <c r="BQ42" i="17" s="1"/>
  <c r="BQ31" i="17"/>
  <c r="BQ43" i="17" s="1"/>
  <c r="BQ32" i="17"/>
  <c r="BQ44" i="17" s="1"/>
  <c r="BQ34" i="17"/>
  <c r="BQ46" i="17" s="1"/>
  <c r="BS28" i="17"/>
  <c r="BS30" i="17"/>
  <c r="BS42" i="17" s="1"/>
  <c r="BS31" i="17"/>
  <c r="BS43" i="17" s="1"/>
  <c r="BS32" i="17"/>
  <c r="BS44" i="17" s="1"/>
  <c r="BS34" i="17"/>
  <c r="BS46" i="17" s="1"/>
  <c r="BM31" i="17"/>
  <c r="BM43" i="17" s="1"/>
  <c r="BM32" i="17"/>
  <c r="BM44" i="17" s="1"/>
  <c r="BM34" i="17"/>
  <c r="BM46" i="17" s="1"/>
  <c r="BO31" i="17"/>
  <c r="BO43" i="17" s="1"/>
  <c r="BO32" i="17"/>
  <c r="BO44" i="17" s="1"/>
  <c r="BO34" i="17"/>
  <c r="BO46" i="17" s="1"/>
  <c r="BI31" i="17"/>
  <c r="BI43" i="17" s="1"/>
  <c r="BI32" i="17"/>
  <c r="BI44" i="17" s="1"/>
  <c r="BI34" i="17"/>
  <c r="BI46" i="17" s="1"/>
  <c r="BK31" i="17"/>
  <c r="BK43" i="17" s="1"/>
  <c r="BK32" i="17"/>
  <c r="BK44" i="17" s="1"/>
  <c r="BK34" i="17"/>
  <c r="BK46" i="17" s="1"/>
  <c r="BE31" i="17"/>
  <c r="BE43" i="17" s="1"/>
  <c r="BE32" i="17"/>
  <c r="BE44" i="17" s="1"/>
  <c r="BE34" i="17"/>
  <c r="BE46" i="17" s="1"/>
  <c r="BG31" i="17"/>
  <c r="BG43" i="17" s="1"/>
  <c r="BG32" i="17"/>
  <c r="BG44" i="17" s="1"/>
  <c r="BG34" i="17"/>
  <c r="BG46" i="17" s="1"/>
  <c r="BA31" i="17"/>
  <c r="BA43" i="17" s="1"/>
  <c r="BA32" i="17"/>
  <c r="BA44" i="17" s="1"/>
  <c r="BA34" i="17"/>
  <c r="BA46" i="17" s="1"/>
  <c r="BC31" i="17"/>
  <c r="BC43" i="17" s="1"/>
  <c r="BC32" i="17"/>
  <c r="BC44" i="17" s="1"/>
  <c r="BC34" i="17"/>
  <c r="BC46" i="17" s="1"/>
  <c r="AW31" i="17"/>
  <c r="AW43" i="17" s="1"/>
  <c r="AW32" i="17"/>
  <c r="AW44" i="17" s="1"/>
  <c r="AW34" i="17"/>
  <c r="AW46" i="17" s="1"/>
  <c r="AY31" i="17"/>
  <c r="AY43" i="17" s="1"/>
  <c r="AY32" i="17"/>
  <c r="AY44" i="17" s="1"/>
  <c r="AY34" i="17"/>
  <c r="AY46" i="17" s="1"/>
  <c r="AW20" i="17"/>
  <c r="AY21" i="17"/>
  <c r="AW22" i="17"/>
  <c r="AY23" i="17"/>
  <c r="P27" i="16" s="1"/>
  <c r="AW23" i="17"/>
  <c r="N27" i="16" s="1"/>
  <c r="AW21" i="17"/>
  <c r="AY22" i="17"/>
  <c r="AW18" i="17"/>
  <c r="AY18" i="17"/>
  <c r="AY19" i="17"/>
  <c r="AW19" i="17"/>
  <c r="AY16" i="17"/>
  <c r="AW16" i="17"/>
  <c r="AI38" i="17"/>
  <c r="AI49" i="17"/>
  <c r="AA49" i="17"/>
  <c r="AE38" i="17"/>
  <c r="AE49" i="17"/>
  <c r="W38" i="17"/>
  <c r="W49" i="17"/>
  <c r="AM38" i="17"/>
  <c r="AM49" i="17"/>
  <c r="AA15" i="17"/>
  <c r="AI15" i="17"/>
  <c r="AI26" i="17"/>
  <c r="W15" i="17"/>
  <c r="W26" i="17"/>
  <c r="AE15" i="17"/>
  <c r="AE26" i="17"/>
  <c r="AM15" i="17"/>
  <c r="AM26" i="17"/>
  <c r="H41" i="17"/>
  <c r="H52" i="17"/>
  <c r="H46" i="17"/>
  <c r="H57" i="17"/>
  <c r="H44" i="17"/>
  <c r="H55" i="17"/>
  <c r="H42" i="17"/>
  <c r="H53" i="17"/>
  <c r="H40" i="17"/>
  <c r="H51" i="17"/>
  <c r="H45" i="17"/>
  <c r="H56" i="17"/>
  <c r="H43" i="17"/>
  <c r="H54" i="17"/>
  <c r="H27" i="17"/>
  <c r="U27" i="17" s="1"/>
  <c r="H39" i="17"/>
  <c r="H18" i="17"/>
  <c r="H86" i="17" s="1"/>
  <c r="H29" i="17"/>
  <c r="H23" i="17"/>
  <c r="H91" i="17" s="1"/>
  <c r="H34" i="17"/>
  <c r="H21" i="17"/>
  <c r="H89" i="17" s="1"/>
  <c r="H32" i="17"/>
  <c r="H19" i="17"/>
  <c r="H87" i="17" s="1"/>
  <c r="H30" i="17"/>
  <c r="H17" i="17"/>
  <c r="H85" i="17" s="1"/>
  <c r="H28" i="17"/>
  <c r="H22" i="17"/>
  <c r="H90" i="17" s="1"/>
  <c r="H33" i="17"/>
  <c r="H20" i="17"/>
  <c r="H88" i="17" s="1"/>
  <c r="H31" i="17"/>
  <c r="H16" i="17"/>
  <c r="K75" i="17" l="1"/>
  <c r="K73" i="17"/>
  <c r="K90" i="17"/>
  <c r="S90" i="17"/>
  <c r="AA90" i="17"/>
  <c r="AI90" i="17"/>
  <c r="W90" i="17"/>
  <c r="AE90" i="17"/>
  <c r="Q90" i="17"/>
  <c r="AG90" i="17"/>
  <c r="M90" i="17"/>
  <c r="U90" i="17"/>
  <c r="AC90" i="17"/>
  <c r="AK90" i="17"/>
  <c r="O90" i="17"/>
  <c r="AM90" i="17"/>
  <c r="Y90" i="17"/>
  <c r="AO90" i="17"/>
  <c r="K87" i="17"/>
  <c r="S87" i="17"/>
  <c r="AA87" i="17"/>
  <c r="AI87" i="17"/>
  <c r="W87" i="17"/>
  <c r="AM87" i="17"/>
  <c r="Q87" i="17"/>
  <c r="AG87" i="17"/>
  <c r="M87" i="17"/>
  <c r="U87" i="17"/>
  <c r="AC87" i="17"/>
  <c r="AK87" i="17"/>
  <c r="O87" i="17"/>
  <c r="AE87" i="17"/>
  <c r="Y87" i="17"/>
  <c r="AO87" i="17"/>
  <c r="K91" i="17"/>
  <c r="S91" i="17"/>
  <c r="AA91" i="17"/>
  <c r="AI91" i="17"/>
  <c r="O91" i="17"/>
  <c r="AE91" i="17"/>
  <c r="Q91" i="17"/>
  <c r="AG91" i="17"/>
  <c r="M91" i="17"/>
  <c r="U91" i="17"/>
  <c r="AC91" i="17"/>
  <c r="AK91" i="17"/>
  <c r="W91" i="17"/>
  <c r="AM91" i="17"/>
  <c r="Y91" i="17"/>
  <c r="AO91" i="17"/>
  <c r="K88" i="17"/>
  <c r="S88" i="17"/>
  <c r="AA88" i="17"/>
  <c r="AI88" i="17"/>
  <c r="W88" i="17"/>
  <c r="AM88" i="17"/>
  <c r="Q88" i="17"/>
  <c r="AG88" i="17"/>
  <c r="M88" i="17"/>
  <c r="U88" i="17"/>
  <c r="AC88" i="17"/>
  <c r="AK88" i="17"/>
  <c r="O88" i="17"/>
  <c r="AE88" i="17"/>
  <c r="Y88" i="17"/>
  <c r="AO88" i="17"/>
  <c r="K89" i="17"/>
  <c r="S89" i="17"/>
  <c r="AA89" i="17"/>
  <c r="AI89" i="17"/>
  <c r="W89" i="17"/>
  <c r="AM89" i="17"/>
  <c r="Q89" i="17"/>
  <c r="AG89" i="17"/>
  <c r="M89" i="17"/>
  <c r="U89" i="17"/>
  <c r="AC89" i="17"/>
  <c r="AK89" i="17"/>
  <c r="O89" i="17"/>
  <c r="AE89" i="17"/>
  <c r="Y89" i="17"/>
  <c r="AO89" i="17"/>
  <c r="K86" i="17"/>
  <c r="S86" i="17"/>
  <c r="AA86" i="17"/>
  <c r="AI86" i="17"/>
  <c r="W86" i="17"/>
  <c r="AM86" i="17"/>
  <c r="Y86" i="17"/>
  <c r="AG86" i="17"/>
  <c r="M86" i="17"/>
  <c r="T57" i="16" s="1"/>
  <c r="U86" i="17"/>
  <c r="AC86" i="17"/>
  <c r="AK86" i="17"/>
  <c r="O86" i="17"/>
  <c r="AE86" i="17"/>
  <c r="Q86" i="17"/>
  <c r="AO86" i="17"/>
  <c r="H84" i="17"/>
  <c r="K84" i="17" s="1"/>
  <c r="Y27" i="17"/>
  <c r="K27" i="17"/>
  <c r="AI73" i="17"/>
  <c r="AA73" i="17"/>
  <c r="S73" i="17"/>
  <c r="AO73" i="17"/>
  <c r="AG73" i="17"/>
  <c r="Y73" i="17"/>
  <c r="AC73" i="17"/>
  <c r="M73" i="17"/>
  <c r="AM73" i="17"/>
  <c r="AE73" i="17"/>
  <c r="W73" i="17"/>
  <c r="AK73" i="17"/>
  <c r="U73" i="17"/>
  <c r="AM79" i="17"/>
  <c r="AE79" i="17"/>
  <c r="W79" i="17"/>
  <c r="AK79" i="17"/>
  <c r="AC79" i="17"/>
  <c r="U79" i="17"/>
  <c r="M79" i="17"/>
  <c r="AO79" i="17"/>
  <c r="AG79" i="17"/>
  <c r="AI79" i="17"/>
  <c r="AA79" i="17"/>
  <c r="S79" i="17"/>
  <c r="K79" i="17"/>
  <c r="Y79" i="17"/>
  <c r="AO80" i="17"/>
  <c r="AG80" i="17"/>
  <c r="Y80" i="17"/>
  <c r="S80" i="17"/>
  <c r="AM80" i="17"/>
  <c r="AE80" i="17"/>
  <c r="W80" i="17"/>
  <c r="AA80" i="17"/>
  <c r="AK80" i="17"/>
  <c r="AC80" i="17"/>
  <c r="U80" i="17"/>
  <c r="M80" i="17"/>
  <c r="AI80" i="17"/>
  <c r="K80" i="17"/>
  <c r="AI77" i="17"/>
  <c r="AA77" i="17"/>
  <c r="S77" i="17"/>
  <c r="K77" i="17"/>
  <c r="AO77" i="17"/>
  <c r="AG77" i="17"/>
  <c r="Y77" i="17"/>
  <c r="AC77" i="17"/>
  <c r="AM77" i="17"/>
  <c r="AE77" i="17"/>
  <c r="W77" i="17"/>
  <c r="AK77" i="17"/>
  <c r="U77" i="17"/>
  <c r="M77" i="17"/>
  <c r="AK74" i="17"/>
  <c r="AC74" i="17"/>
  <c r="U74" i="17"/>
  <c r="M74" i="17"/>
  <c r="AE74" i="17"/>
  <c r="AI74" i="17"/>
  <c r="AA74" i="17"/>
  <c r="S74" i="17"/>
  <c r="K74" i="17"/>
  <c r="AO74" i="17"/>
  <c r="AG74" i="17"/>
  <c r="Y74" i="17"/>
  <c r="AM74" i="17"/>
  <c r="W74" i="17"/>
  <c r="AK78" i="17"/>
  <c r="AC78" i="17"/>
  <c r="U78" i="17"/>
  <c r="M78" i="17"/>
  <c r="AE78" i="17"/>
  <c r="AI78" i="17"/>
  <c r="AA78" i="17"/>
  <c r="S78" i="17"/>
  <c r="K78" i="17"/>
  <c r="AO78" i="17"/>
  <c r="AG78" i="17"/>
  <c r="Y78" i="17"/>
  <c r="AM78" i="17"/>
  <c r="W78" i="17"/>
  <c r="AM75" i="17"/>
  <c r="AE75" i="17"/>
  <c r="W75" i="17"/>
  <c r="AO75" i="17"/>
  <c r="AK75" i="17"/>
  <c r="AC75" i="17"/>
  <c r="U75" i="17"/>
  <c r="M75" i="17"/>
  <c r="AG75" i="17"/>
  <c r="AI75" i="17"/>
  <c r="AA75" i="17"/>
  <c r="S75" i="17"/>
  <c r="Y75" i="17"/>
  <c r="AO76" i="17"/>
  <c r="AG76" i="17"/>
  <c r="Y76" i="17"/>
  <c r="AI76" i="17"/>
  <c r="AM76" i="17"/>
  <c r="AE76" i="17"/>
  <c r="W76" i="17"/>
  <c r="S76" i="17"/>
  <c r="AK76" i="17"/>
  <c r="AC76" i="17"/>
  <c r="U76" i="17"/>
  <c r="M76" i="17"/>
  <c r="AA76" i="17"/>
  <c r="K76" i="17"/>
  <c r="K28" i="17"/>
  <c r="K34" i="17"/>
  <c r="K46" i="17" s="1"/>
  <c r="K69" i="17" s="1"/>
  <c r="AE33" i="17"/>
  <c r="AE45" i="17" s="1"/>
  <c r="AE68" i="17" s="1"/>
  <c r="AG30" i="17"/>
  <c r="AG42" i="17" s="1"/>
  <c r="AG65" i="17" s="1"/>
  <c r="AC27" i="17"/>
  <c r="AM27" i="17"/>
  <c r="Y31" i="17"/>
  <c r="W32" i="17"/>
  <c r="Y29" i="17"/>
  <c r="S27" i="17"/>
  <c r="K31" i="17"/>
  <c r="AC28" i="17"/>
  <c r="AI28" i="17"/>
  <c r="AI40" i="17" s="1"/>
  <c r="S31" i="17"/>
  <c r="Y28" i="17"/>
  <c r="AA27" i="17"/>
  <c r="M27" i="17"/>
  <c r="AO27" i="17"/>
  <c r="W30" i="17"/>
  <c r="AK27" i="17"/>
  <c r="S30" i="17"/>
  <c r="M29" i="17"/>
  <c r="AE27" i="17"/>
  <c r="U28" i="17"/>
  <c r="K32" i="17"/>
  <c r="AE29" i="17"/>
  <c r="AE41" i="17" s="1"/>
  <c r="AI29" i="17"/>
  <c r="AI41" i="17" s="1"/>
  <c r="S32" i="17"/>
  <c r="M32" i="17"/>
  <c r="AM29" i="17"/>
  <c r="AM41" i="17" s="1"/>
  <c r="AG28" i="17"/>
  <c r="AG40" i="17" s="1"/>
  <c r="AK31" i="17"/>
  <c r="AK43" i="17" s="1"/>
  <c r="AK66" i="17" s="1"/>
  <c r="AA31" i="17"/>
  <c r="AO32" i="17"/>
  <c r="AO44" i="17" s="1"/>
  <c r="AO67" i="17" s="1"/>
  <c r="AG32" i="17"/>
  <c r="AG44" i="17" s="1"/>
  <c r="AG67" i="17" s="1"/>
  <c r="Y32" i="17"/>
  <c r="AK30" i="17"/>
  <c r="AK42" i="17" s="1"/>
  <c r="AK65" i="17" s="1"/>
  <c r="AI33" i="17"/>
  <c r="AI45" i="17" s="1"/>
  <c r="AI68" i="17" s="1"/>
  <c r="AO34" i="17"/>
  <c r="AO46" i="17" s="1"/>
  <c r="AO69" i="17" s="1"/>
  <c r="AM33" i="17"/>
  <c r="AM45" i="17" s="1"/>
  <c r="AM68" i="17" s="1"/>
  <c r="Y30" i="17"/>
  <c r="AI34" i="17"/>
  <c r="AI46" i="17" s="1"/>
  <c r="AI69" i="17" s="1"/>
  <c r="AA30" i="17"/>
  <c r="AC34" i="17"/>
  <c r="AC46" i="17" s="1"/>
  <c r="AC69" i="17" s="1"/>
  <c r="U34" i="17"/>
  <c r="U46" i="17" s="1"/>
  <c r="U69" i="17" s="1"/>
  <c r="AO30" i="17"/>
  <c r="AO42" i="17" s="1"/>
  <c r="AO65" i="17" s="1"/>
  <c r="AO33" i="17"/>
  <c r="AO45" i="17" s="1"/>
  <c r="AO68" i="17" s="1"/>
  <c r="AG27" i="17"/>
  <c r="AG33" i="17"/>
  <c r="AG45" i="17" s="1"/>
  <c r="AG68" i="17" s="1"/>
  <c r="W27" i="17"/>
  <c r="Y34" i="17"/>
  <c r="Y46" i="17" s="1"/>
  <c r="Y69" i="17" s="1"/>
  <c r="AI30" i="17"/>
  <c r="AI42" i="17" s="1"/>
  <c r="AI65" i="17" s="1"/>
  <c r="AI27" i="17"/>
  <c r="AA28" i="17"/>
  <c r="AC32" i="17"/>
  <c r="U39" i="17"/>
  <c r="U32" i="17"/>
  <c r="M28" i="17"/>
  <c r="K30" i="17"/>
  <c r="M34" i="17"/>
  <c r="M46" i="17" s="1"/>
  <c r="M69" i="17" s="1"/>
  <c r="AM30" i="17"/>
  <c r="AM42" i="17" s="1"/>
  <c r="AM65" i="17" s="1"/>
  <c r="AE31" i="17"/>
  <c r="AE43" i="17" s="1"/>
  <c r="AE66" i="17" s="1"/>
  <c r="AE30" i="17"/>
  <c r="AE42" i="17" s="1"/>
  <c r="AE65" i="17" s="1"/>
  <c r="W29" i="17"/>
  <c r="Y33" i="17"/>
  <c r="Y45" i="17" s="1"/>
  <c r="Y68" i="17" s="1"/>
  <c r="AK28" i="17"/>
  <c r="AK40" i="17" s="1"/>
  <c r="AK29" i="17"/>
  <c r="AK41" i="17" s="1"/>
  <c r="AK34" i="17"/>
  <c r="AK46" i="17" s="1"/>
  <c r="AK69" i="17" s="1"/>
  <c r="AC31" i="17"/>
  <c r="AC29" i="17"/>
  <c r="AC41" i="17" s="1"/>
  <c r="AF38" i="16" s="1"/>
  <c r="AA34" i="17"/>
  <c r="AA46" i="17" s="1"/>
  <c r="AA69" i="17" s="1"/>
  <c r="AA33" i="17"/>
  <c r="AA45" i="17" s="1"/>
  <c r="AA68" i="17" s="1"/>
  <c r="U29" i="17"/>
  <c r="U31" i="17"/>
  <c r="S34" i="17"/>
  <c r="S46" i="17" s="1"/>
  <c r="S69" i="17" s="1"/>
  <c r="S33" i="17"/>
  <c r="S45" i="17" s="1"/>
  <c r="S68" i="17" s="1"/>
  <c r="M31" i="17"/>
  <c r="M30" i="17"/>
  <c r="K29" i="17"/>
  <c r="M33" i="17"/>
  <c r="M45" i="17" s="1"/>
  <c r="M68" i="17" s="1"/>
  <c r="AO28" i="17"/>
  <c r="AO40" i="17" s="1"/>
  <c r="AM31" i="17"/>
  <c r="AM43" i="17" s="1"/>
  <c r="AM66" i="17" s="1"/>
  <c r="AM28" i="17"/>
  <c r="AM40" i="17" s="1"/>
  <c r="AM34" i="17"/>
  <c r="AM46" i="17" s="1"/>
  <c r="AM69" i="17" s="1"/>
  <c r="AG29" i="17"/>
  <c r="AG41" i="17" s="1"/>
  <c r="AG34" i="17"/>
  <c r="AG46" i="17" s="1"/>
  <c r="AG69" i="17" s="1"/>
  <c r="AE28" i="17"/>
  <c r="AE40" i="17" s="1"/>
  <c r="AE34" i="17"/>
  <c r="AE46" i="17" s="1"/>
  <c r="AE69" i="17" s="1"/>
  <c r="W33" i="17"/>
  <c r="W45" i="17" s="1"/>
  <c r="W68" i="17" s="1"/>
  <c r="W31" i="17"/>
  <c r="W28" i="17"/>
  <c r="W34" i="17"/>
  <c r="W46" i="17" s="1"/>
  <c r="W69" i="17" s="1"/>
  <c r="AI32" i="17"/>
  <c r="AI44" i="17" s="1"/>
  <c r="AI67" i="17" s="1"/>
  <c r="AK32" i="17"/>
  <c r="AK44" i="17" s="1"/>
  <c r="AK67" i="17" s="1"/>
  <c r="AI31" i="17"/>
  <c r="AI43" i="17" s="1"/>
  <c r="AI66" i="17" s="1"/>
  <c r="AK33" i="17"/>
  <c r="AK45" i="17" s="1"/>
  <c r="AK68" i="17" s="1"/>
  <c r="AA32" i="17"/>
  <c r="AC30" i="17"/>
  <c r="AA29" i="17"/>
  <c r="AA41" i="17" s="1"/>
  <c r="AD38" i="16" s="1"/>
  <c r="AC33" i="17"/>
  <c r="AC45" i="17" s="1"/>
  <c r="AC68" i="17" s="1"/>
  <c r="S28" i="17"/>
  <c r="U30" i="17"/>
  <c r="S29" i="17"/>
  <c r="U33" i="17"/>
  <c r="U45" i="17" s="1"/>
  <c r="U68" i="17" s="1"/>
  <c r="K33" i="17"/>
  <c r="K45" i="17" s="1"/>
  <c r="K68" i="17" s="1"/>
  <c r="AO29" i="17"/>
  <c r="AO41" i="17" s="1"/>
  <c r="AO31" i="17"/>
  <c r="AO43" i="17" s="1"/>
  <c r="AO66" i="17" s="1"/>
  <c r="AM32" i="17"/>
  <c r="AM44" i="17" s="1"/>
  <c r="AM67" i="17" s="1"/>
  <c r="AG31" i="17"/>
  <c r="AG43" i="17" s="1"/>
  <c r="AG66" i="17" s="1"/>
  <c r="AE32" i="17"/>
  <c r="AE44" i="17" s="1"/>
  <c r="AE67" i="17" s="1"/>
  <c r="T11" i="16"/>
  <c r="R11" i="16"/>
  <c r="R9" i="16"/>
  <c r="Q8" i="16"/>
  <c r="S10" i="16"/>
  <c r="H11" i="16"/>
  <c r="U8" i="16"/>
  <c r="U10" i="16"/>
  <c r="L9" i="16"/>
  <c r="Q11" i="16"/>
  <c r="N11" i="16"/>
  <c r="Y10" i="16"/>
  <c r="P9" i="16"/>
  <c r="F8" i="16"/>
  <c r="V11" i="16"/>
  <c r="F9" i="16"/>
  <c r="J10" i="16"/>
  <c r="Q10" i="16"/>
  <c r="R8" i="16"/>
  <c r="X7" i="16"/>
  <c r="L7" i="16"/>
  <c r="Y7" i="16"/>
  <c r="V7" i="16"/>
  <c r="N9" i="16"/>
  <c r="V9" i="16"/>
  <c r="O11" i="16"/>
  <c r="W10" i="16"/>
  <c r="V10" i="16"/>
  <c r="H10" i="16"/>
  <c r="I9" i="16"/>
  <c r="K8" i="16"/>
  <c r="Y11" i="16"/>
  <c r="X9" i="16"/>
  <c r="N8" i="16"/>
  <c r="L11" i="16"/>
  <c r="O8" i="16"/>
  <c r="F10" i="16"/>
  <c r="P10" i="16"/>
  <c r="P11" i="16"/>
  <c r="Q9" i="16"/>
  <c r="J8" i="16"/>
  <c r="O10" i="16"/>
  <c r="U9" i="16"/>
  <c r="N10" i="16"/>
  <c r="H9" i="16"/>
  <c r="Q7" i="16"/>
  <c r="N7" i="16"/>
  <c r="S7" i="16"/>
  <c r="J7" i="16"/>
  <c r="M7" i="16"/>
  <c r="X8" i="16"/>
  <c r="U11" i="16"/>
  <c r="M8" i="16"/>
  <c r="P7" i="16"/>
  <c r="W7" i="16"/>
  <c r="K10" i="16"/>
  <c r="R10" i="16"/>
  <c r="J9" i="16"/>
  <c r="M9" i="16"/>
  <c r="S8" i="16"/>
  <c r="S11" i="16"/>
  <c r="Y9" i="16"/>
  <c r="W11" i="16"/>
  <c r="W9" i="16"/>
  <c r="P8" i="16"/>
  <c r="K11" i="16"/>
  <c r="M10" i="16"/>
  <c r="T9" i="16"/>
  <c r="S9" i="16"/>
  <c r="I8" i="16"/>
  <c r="X10" i="16"/>
  <c r="W8" i="16"/>
  <c r="J11" i="16"/>
  <c r="K9" i="16"/>
  <c r="K7" i="16"/>
  <c r="H7" i="16"/>
  <c r="R7" i="16"/>
  <c r="U7" i="16"/>
  <c r="T7" i="16"/>
  <c r="I11" i="16"/>
  <c r="L10" i="16"/>
  <c r="O9" i="16"/>
  <c r="V8" i="16"/>
  <c r="L8" i="16"/>
  <c r="M11" i="16"/>
  <c r="T8" i="16"/>
  <c r="F11" i="16"/>
  <c r="X11" i="16"/>
  <c r="Y8" i="16"/>
  <c r="T10" i="16"/>
  <c r="I10" i="16"/>
  <c r="H8" i="16"/>
  <c r="I7" i="16"/>
  <c r="F7" i="16"/>
  <c r="BY33" i="17" l="1"/>
  <c r="BY45" i="17" s="1"/>
  <c r="AP26" i="16" s="1"/>
  <c r="CA33" i="17"/>
  <c r="CA45" i="17" s="1"/>
  <c r="AR26" i="16" s="1"/>
  <c r="BW33" i="17"/>
  <c r="BW45" i="17" s="1"/>
  <c r="AN26" i="16" s="1"/>
  <c r="BU33" i="17"/>
  <c r="BU45" i="17" s="1"/>
  <c r="AL26" i="16" s="1"/>
  <c r="BS33" i="17"/>
  <c r="BS45" i="17" s="1"/>
  <c r="AJ26" i="16" s="1"/>
  <c r="BQ33" i="17"/>
  <c r="BQ45" i="17" s="1"/>
  <c r="AH26" i="16" s="1"/>
  <c r="BI21" i="17"/>
  <c r="BK23" i="17"/>
  <c r="AB27" i="16" s="1"/>
  <c r="BI22" i="17"/>
  <c r="BK22" i="17"/>
  <c r="BK21" i="17"/>
  <c r="BI23" i="17"/>
  <c r="Z27" i="16" s="1"/>
  <c r="AM53" i="17"/>
  <c r="AE53" i="17"/>
  <c r="AM19" i="17"/>
  <c r="AP39" i="16" s="1"/>
  <c r="AE19" i="17"/>
  <c r="AH39" i="16" s="1"/>
  <c r="AG53" i="17"/>
  <c r="AK53" i="17"/>
  <c r="AK19" i="17"/>
  <c r="AN39" i="16" s="1"/>
  <c r="AI53" i="17"/>
  <c r="AI19" i="17"/>
  <c r="AL39" i="16" s="1"/>
  <c r="AO53" i="17"/>
  <c r="AO19" i="17"/>
  <c r="AR39" i="16" s="1"/>
  <c r="AG19" i="17"/>
  <c r="AJ39" i="16" s="1"/>
  <c r="AK47" i="16"/>
  <c r="AK48" i="16"/>
  <c r="AK51" i="16"/>
  <c r="AK49" i="16"/>
  <c r="AK52" i="16"/>
  <c r="AK46" i="16"/>
  <c r="AK50" i="16"/>
  <c r="AK53" i="16"/>
  <c r="CA19" i="17"/>
  <c r="CA16" i="17"/>
  <c r="BY17" i="17"/>
  <c r="AP21" i="16" s="1"/>
  <c r="BY19" i="17"/>
  <c r="BY16" i="17"/>
  <c r="CA23" i="17"/>
  <c r="AR27" i="16" s="1"/>
  <c r="BY23" i="17"/>
  <c r="AP27" i="16" s="1"/>
  <c r="BY22" i="17"/>
  <c r="CA22" i="17"/>
  <c r="BY21" i="17"/>
  <c r="CA20" i="17"/>
  <c r="CA18" i="17"/>
  <c r="BY18" i="17"/>
  <c r="CA21" i="17"/>
  <c r="BY20" i="17"/>
  <c r="CA17" i="17"/>
  <c r="AR21" i="16" s="1"/>
  <c r="BW16" i="17"/>
  <c r="BU17" i="17"/>
  <c r="AL21" i="16" s="1"/>
  <c r="BW17" i="17"/>
  <c r="AN21" i="16" s="1"/>
  <c r="BU20" i="17"/>
  <c r="BW21" i="17"/>
  <c r="BW22" i="17"/>
  <c r="BW19" i="17"/>
  <c r="BW23" i="17"/>
  <c r="AN27" i="16" s="1"/>
  <c r="BU19" i="17"/>
  <c r="BW18" i="17"/>
  <c r="BU18" i="17"/>
  <c r="BW20" i="17"/>
  <c r="BU16" i="17"/>
  <c r="BU21" i="17"/>
  <c r="BU22" i="17"/>
  <c r="BU23" i="17"/>
  <c r="AL27" i="16" s="1"/>
  <c r="AI56" i="17"/>
  <c r="AL42" i="16" s="1"/>
  <c r="AK22" i="17"/>
  <c r="AM22" i="17"/>
  <c r="AO56" i="17"/>
  <c r="AR42" i="16" s="1"/>
  <c r="AG56" i="17"/>
  <c r="AJ42" i="16" s="1"/>
  <c r="AO22" i="17"/>
  <c r="AG22" i="17"/>
  <c r="AM56" i="17"/>
  <c r="AP42" i="16" s="1"/>
  <c r="AE56" i="17"/>
  <c r="AH42" i="16" s="1"/>
  <c r="AE22" i="17"/>
  <c r="AK56" i="17"/>
  <c r="AN42" i="16" s="1"/>
  <c r="AI22" i="17"/>
  <c r="BY27" i="17"/>
  <c r="BY39" i="17" s="1"/>
  <c r="AP20" i="16" s="1"/>
  <c r="CA27" i="17"/>
  <c r="CA39" i="17" s="1"/>
  <c r="AR20" i="16" s="1"/>
  <c r="BU27" i="17"/>
  <c r="BU39" i="17" s="1"/>
  <c r="AL20" i="16" s="1"/>
  <c r="BW27" i="17"/>
  <c r="BW39" i="17" s="1"/>
  <c r="AN20" i="16" s="1"/>
  <c r="AO54" i="17"/>
  <c r="AE54" i="17"/>
  <c r="AM20" i="17"/>
  <c r="AP40" i="16" s="1"/>
  <c r="AE20" i="17"/>
  <c r="AH40" i="16" s="1"/>
  <c r="AI54" i="17"/>
  <c r="AI20" i="17"/>
  <c r="AL40" i="16" s="1"/>
  <c r="AG20" i="17"/>
  <c r="AJ40" i="16" s="1"/>
  <c r="AK54" i="17"/>
  <c r="AK20" i="17"/>
  <c r="AN40" i="16" s="1"/>
  <c r="AM54" i="17"/>
  <c r="AG54" i="17"/>
  <c r="AO20" i="17"/>
  <c r="AR40" i="16" s="1"/>
  <c r="BO23" i="17"/>
  <c r="AF27" i="16" s="1"/>
  <c r="BM22" i="17"/>
  <c r="BM23" i="17"/>
  <c r="AD27" i="16" s="1"/>
  <c r="BO22" i="17"/>
  <c r="BM21" i="17"/>
  <c r="BO21" i="17"/>
  <c r="AI55" i="17"/>
  <c r="AI21" i="17"/>
  <c r="AM55" i="17"/>
  <c r="AM21" i="17"/>
  <c r="AE21" i="17"/>
  <c r="AK21" i="17"/>
  <c r="AO55" i="17"/>
  <c r="AG55" i="17"/>
  <c r="AO21" i="17"/>
  <c r="AG21" i="17"/>
  <c r="AE55" i="17"/>
  <c r="AK55" i="17"/>
  <c r="BS29" i="17"/>
  <c r="BS41" i="17" s="1"/>
  <c r="AJ22" i="16" s="1"/>
  <c r="BQ29" i="17"/>
  <c r="BQ41" i="17" s="1"/>
  <c r="AH22" i="16" s="1"/>
  <c r="BQ27" i="17"/>
  <c r="BQ39" i="17" s="1"/>
  <c r="AH20" i="16" s="1"/>
  <c r="BS27" i="17"/>
  <c r="BS39" i="17" s="1"/>
  <c r="AJ20" i="16" s="1"/>
  <c r="BS18" i="17"/>
  <c r="BQ16" i="17"/>
  <c r="BS20" i="17"/>
  <c r="BS23" i="17"/>
  <c r="AJ27" i="16" s="1"/>
  <c r="BS19" i="17"/>
  <c r="BQ18" i="17"/>
  <c r="BQ22" i="17"/>
  <c r="BQ21" i="17"/>
  <c r="BQ19" i="17"/>
  <c r="BQ20" i="17"/>
  <c r="BS17" i="17"/>
  <c r="AJ21" i="16" s="1"/>
  <c r="BQ17" i="17"/>
  <c r="AH21" i="16" s="1"/>
  <c r="BS22" i="17"/>
  <c r="BS16" i="17"/>
  <c r="BQ23" i="17"/>
  <c r="AH27" i="16" s="1"/>
  <c r="BS21" i="17"/>
  <c r="BW29" i="17"/>
  <c r="BW41" i="17" s="1"/>
  <c r="AN22" i="16" s="1"/>
  <c r="BU29" i="17"/>
  <c r="BU41" i="17" s="1"/>
  <c r="AL22" i="16" s="1"/>
  <c r="CA29" i="17"/>
  <c r="CA41" i="17" s="1"/>
  <c r="AR22" i="16" s="1"/>
  <c r="BY29" i="17"/>
  <c r="BY41" i="17" s="1"/>
  <c r="AP22" i="16" s="1"/>
  <c r="AI57" i="17"/>
  <c r="AI23" i="17"/>
  <c r="AL43" i="16" s="1"/>
  <c r="AE57" i="17"/>
  <c r="AK57" i="17"/>
  <c r="AO57" i="17"/>
  <c r="AG57" i="17"/>
  <c r="AO23" i="17"/>
  <c r="AR43" i="16" s="1"/>
  <c r="AG23" i="17"/>
  <c r="AJ43" i="16" s="1"/>
  <c r="AM57" i="17"/>
  <c r="AM23" i="17"/>
  <c r="AP43" i="16" s="1"/>
  <c r="AE23" i="17"/>
  <c r="AH43" i="16" s="1"/>
  <c r="AK23" i="17"/>
  <c r="AN43" i="16" s="1"/>
  <c r="AQ50" i="16"/>
  <c r="AN52" i="16"/>
  <c r="AN48" i="16"/>
  <c r="AN46" i="16"/>
  <c r="AN53" i="16"/>
  <c r="AN49" i="16"/>
  <c r="AQ51" i="16"/>
  <c r="AQ46" i="16"/>
  <c r="AN50" i="16"/>
  <c r="AQ52" i="16"/>
  <c r="AQ48" i="16"/>
  <c r="AQ53" i="16"/>
  <c r="AQ49" i="16"/>
  <c r="AN51" i="16"/>
  <c r="AN47" i="16"/>
  <c r="AQ47" i="16"/>
  <c r="AM64" i="17"/>
  <c r="AP38" i="16"/>
  <c r="AG64" i="17"/>
  <c r="AJ38" i="16"/>
  <c r="AO63" i="17"/>
  <c r="AI63" i="17"/>
  <c r="AE63" i="17"/>
  <c r="AM63" i="17"/>
  <c r="AK64" i="17"/>
  <c r="AN38" i="16"/>
  <c r="AG63" i="17"/>
  <c r="AO64" i="17"/>
  <c r="AR38" i="16"/>
  <c r="AK63" i="17"/>
  <c r="AE64" i="17"/>
  <c r="AH38" i="16"/>
  <c r="AI64" i="17"/>
  <c r="AL38" i="16"/>
  <c r="BI30" i="17"/>
  <c r="BI42" i="17" s="1"/>
  <c r="BK30" i="17"/>
  <c r="BK42" i="17" s="1"/>
  <c r="BM30" i="17"/>
  <c r="BM42" i="17" s="1"/>
  <c r="BO30" i="17"/>
  <c r="BO42" i="17" s="1"/>
  <c r="AA64" i="17"/>
  <c r="AC64" i="17"/>
  <c r="M84" i="17"/>
  <c r="U84" i="17"/>
  <c r="AC84" i="17"/>
  <c r="AK84" i="17"/>
  <c r="O84" i="17"/>
  <c r="W84" i="17"/>
  <c r="AE84" i="17"/>
  <c r="AM84" i="17"/>
  <c r="Q84" i="17"/>
  <c r="Y84" i="17"/>
  <c r="AG84" i="17"/>
  <c r="AO84" i="17"/>
  <c r="S84" i="17"/>
  <c r="AA84" i="17"/>
  <c r="AI84" i="17"/>
  <c r="S40" i="17"/>
  <c r="AA44" i="17"/>
  <c r="AA67" i="17" s="1"/>
  <c r="M43" i="17"/>
  <c r="U41" i="17"/>
  <c r="X38" i="16" s="1"/>
  <c r="AC43" i="17"/>
  <c r="AC66" i="17" s="1"/>
  <c r="U44" i="17"/>
  <c r="U67" i="17" s="1"/>
  <c r="AI39" i="17"/>
  <c r="AI62" i="17" s="1"/>
  <c r="Y42" i="17"/>
  <c r="Y65" i="17" s="1"/>
  <c r="AA43" i="17"/>
  <c r="AA66" i="17" s="1"/>
  <c r="M44" i="17"/>
  <c r="M67" i="17" s="1"/>
  <c r="S42" i="17"/>
  <c r="S65" i="17" s="1"/>
  <c r="M39" i="17"/>
  <c r="Y41" i="17"/>
  <c r="AB38" i="16" s="1"/>
  <c r="W41" i="17"/>
  <c r="Z38" i="16" s="1"/>
  <c r="AG39" i="17"/>
  <c r="AG62" i="17" s="1"/>
  <c r="Y44" i="17"/>
  <c r="Y67" i="17" s="1"/>
  <c r="S44" i="17"/>
  <c r="S67" i="17" s="1"/>
  <c r="U40" i="17"/>
  <c r="AK39" i="17"/>
  <c r="AK62" i="17" s="1"/>
  <c r="AA39" i="17"/>
  <c r="W44" i="17"/>
  <c r="W67" i="17" s="1"/>
  <c r="AM39" i="17"/>
  <c r="AM62" i="17" s="1"/>
  <c r="AC39" i="17"/>
  <c r="S41" i="17"/>
  <c r="V38" i="16" s="1"/>
  <c r="W40" i="17"/>
  <c r="AC44" i="17"/>
  <c r="AC67" i="17" s="1"/>
  <c r="AA42" i="17"/>
  <c r="AA65" i="17" s="1"/>
  <c r="AE39" i="17"/>
  <c r="AE62" i="17" s="1"/>
  <c r="W42" i="17"/>
  <c r="W65" i="17" s="1"/>
  <c r="Y40" i="17"/>
  <c r="Y43" i="17"/>
  <c r="Y66" i="17" s="1"/>
  <c r="Y39" i="17"/>
  <c r="U42" i="17"/>
  <c r="U65" i="17" s="1"/>
  <c r="AC42" i="17"/>
  <c r="AC65" i="17" s="1"/>
  <c r="W43" i="17"/>
  <c r="W66" i="17" s="1"/>
  <c r="M42" i="17"/>
  <c r="U43" i="17"/>
  <c r="U66" i="17" s="1"/>
  <c r="M40" i="17"/>
  <c r="W39" i="17"/>
  <c r="M41" i="17"/>
  <c r="AO39" i="17"/>
  <c r="AO62" i="17" s="1"/>
  <c r="S43" i="17"/>
  <c r="S66" i="17" s="1"/>
  <c r="S39" i="17"/>
  <c r="K41" i="17"/>
  <c r="K42" i="17"/>
  <c r="K43" i="17"/>
  <c r="K44" i="17"/>
  <c r="K67" i="17" s="1"/>
  <c r="K39" i="17"/>
  <c r="K40" i="17"/>
  <c r="AC40" i="17"/>
  <c r="AA40" i="17"/>
  <c r="BK20" i="17"/>
  <c r="BI20" i="17"/>
  <c r="BM20" i="17"/>
  <c r="BO20" i="17"/>
  <c r="BI28" i="17"/>
  <c r="BO28" i="17"/>
  <c r="BM28" i="17"/>
  <c r="BK28" i="17"/>
  <c r="BO18" i="17"/>
  <c r="BO19" i="17"/>
  <c r="BM18" i="17"/>
  <c r="BM19" i="17"/>
  <c r="BM53" i="17" s="1"/>
  <c r="BO16" i="17"/>
  <c r="BM16" i="17"/>
  <c r="BK18" i="17"/>
  <c r="BK19" i="17"/>
  <c r="BK53" i="17" s="1"/>
  <c r="BI18" i="17"/>
  <c r="BI19" i="17"/>
  <c r="BI53" i="17" s="1"/>
  <c r="BI16" i="17"/>
  <c r="BK16" i="17"/>
  <c r="U62" i="17"/>
  <c r="AA22" i="17"/>
  <c r="W22" i="17"/>
  <c r="S22" i="17"/>
  <c r="AC56" i="17"/>
  <c r="AF42" i="16" s="1"/>
  <c r="Y56" i="17"/>
  <c r="AB42" i="16" s="1"/>
  <c r="U56" i="17"/>
  <c r="X42" i="16" s="1"/>
  <c r="K22" i="17"/>
  <c r="K56" i="17"/>
  <c r="N42" i="16" s="1"/>
  <c r="AA56" i="17"/>
  <c r="AD42" i="16" s="1"/>
  <c r="W56" i="17"/>
  <c r="Z42" i="16" s="1"/>
  <c r="S56" i="17"/>
  <c r="V42" i="16" s="1"/>
  <c r="M22" i="17"/>
  <c r="M56" i="17"/>
  <c r="P42" i="16" s="1"/>
  <c r="AC22" i="17"/>
  <c r="Y22" i="17"/>
  <c r="U22" i="17"/>
  <c r="AA54" i="17"/>
  <c r="W54" i="17"/>
  <c r="K54" i="17"/>
  <c r="M20" i="17"/>
  <c r="U54" i="17"/>
  <c r="M54" i="17"/>
  <c r="AC20" i="17"/>
  <c r="Y20" i="17"/>
  <c r="U20" i="17"/>
  <c r="X40" i="16" s="1"/>
  <c r="S54" i="17"/>
  <c r="AA20" i="17"/>
  <c r="W20" i="17"/>
  <c r="S20" i="17"/>
  <c r="AC54" i="17"/>
  <c r="Y54" i="17"/>
  <c r="K20" i="17"/>
  <c r="AA23" i="17"/>
  <c r="AD43" i="16" s="1"/>
  <c r="W23" i="17"/>
  <c r="Z43" i="16" s="1"/>
  <c r="S23" i="17"/>
  <c r="V43" i="16" s="1"/>
  <c r="AC57" i="17"/>
  <c r="Y57" i="17"/>
  <c r="U57" i="17"/>
  <c r="K23" i="17"/>
  <c r="N43" i="16" s="1"/>
  <c r="AA57" i="17"/>
  <c r="W57" i="17"/>
  <c r="S57" i="17"/>
  <c r="K57" i="17"/>
  <c r="M23" i="17"/>
  <c r="P43" i="16" s="1"/>
  <c r="M57" i="17"/>
  <c r="AC23" i="17"/>
  <c r="AF43" i="16" s="1"/>
  <c r="Y23" i="17"/>
  <c r="AB43" i="16" s="1"/>
  <c r="U23" i="17"/>
  <c r="X43" i="16" s="1"/>
  <c r="AA53" i="17"/>
  <c r="W53" i="17"/>
  <c r="S53" i="17"/>
  <c r="K53" i="17"/>
  <c r="M19" i="17"/>
  <c r="M53" i="17"/>
  <c r="AC19" i="17"/>
  <c r="Y19" i="17"/>
  <c r="AB39" i="16" s="1"/>
  <c r="U19" i="17"/>
  <c r="X39" i="16" s="1"/>
  <c r="AA19" i="17"/>
  <c r="W19" i="17"/>
  <c r="S19" i="17"/>
  <c r="AC53" i="17"/>
  <c r="Y53" i="17"/>
  <c r="U53" i="17"/>
  <c r="K19" i="17"/>
  <c r="AA55" i="17"/>
  <c r="W55" i="17"/>
  <c r="S55" i="17"/>
  <c r="K55" i="17"/>
  <c r="M21" i="17"/>
  <c r="M55" i="17"/>
  <c r="AC21" i="17"/>
  <c r="Y21" i="17"/>
  <c r="U21" i="17"/>
  <c r="AA21" i="17"/>
  <c r="W21" i="17"/>
  <c r="S21" i="17"/>
  <c r="AC55" i="17"/>
  <c r="Y55" i="17"/>
  <c r="U55" i="17"/>
  <c r="K21" i="17"/>
  <c r="N41" i="16" s="1"/>
  <c r="O38" i="17"/>
  <c r="O15" i="17"/>
  <c r="O49" i="17"/>
  <c r="O26" i="17"/>
  <c r="Z41" i="16" l="1"/>
  <c r="AF41" i="16"/>
  <c r="AF39" i="16"/>
  <c r="AD40" i="16"/>
  <c r="AF40" i="16"/>
  <c r="AJ41" i="16"/>
  <c r="AN41" i="16"/>
  <c r="AL41" i="16"/>
  <c r="AR41" i="16"/>
  <c r="AH41" i="16"/>
  <c r="P41" i="16"/>
  <c r="AP41" i="16"/>
  <c r="AD41" i="16"/>
  <c r="X41" i="16"/>
  <c r="V41" i="16"/>
  <c r="AB41" i="16"/>
  <c r="V40" i="16"/>
  <c r="N40" i="16"/>
  <c r="Z40" i="16"/>
  <c r="AB40" i="16"/>
  <c r="P40" i="16"/>
  <c r="Z39" i="16"/>
  <c r="AD39" i="16"/>
  <c r="V39" i="16"/>
  <c r="AB23" i="16"/>
  <c r="AF23" i="16"/>
  <c r="AD23" i="16"/>
  <c r="Z23" i="16"/>
  <c r="BO53" i="17"/>
  <c r="S64" i="17"/>
  <c r="U64" i="17"/>
  <c r="W64" i="17"/>
  <c r="Y64" i="17"/>
  <c r="AA62" i="17"/>
  <c r="S62" i="17"/>
  <c r="AC62" i="17"/>
  <c r="Y62" i="17"/>
  <c r="W62" i="17"/>
  <c r="S63" i="17"/>
  <c r="W63" i="17"/>
  <c r="U63" i="17"/>
  <c r="Y63" i="17"/>
  <c r="AC63" i="17"/>
  <c r="AA63" i="17"/>
  <c r="BA28" i="17"/>
  <c r="BG28" i="17"/>
  <c r="AY28" i="17"/>
  <c r="BE28" i="17"/>
  <c r="AW28" i="17"/>
  <c r="BC28" i="17"/>
  <c r="Q32" i="17"/>
  <c r="O29" i="17"/>
  <c r="O31" i="17"/>
  <c r="Q31" i="17"/>
  <c r="Q34" i="17"/>
  <c r="Q46" i="17" s="1"/>
  <c r="Q69" i="17" s="1"/>
  <c r="Q29" i="17"/>
  <c r="O28" i="17"/>
  <c r="O32" i="17"/>
  <c r="O33" i="17"/>
  <c r="O45" i="17" s="1"/>
  <c r="O68" i="17" s="1"/>
  <c r="O27" i="17"/>
  <c r="O34" i="17"/>
  <c r="O46" i="17" s="1"/>
  <c r="O69" i="17" s="1"/>
  <c r="Q33" i="17"/>
  <c r="Q45" i="17" s="1"/>
  <c r="Q68" i="17" s="1"/>
  <c r="Q28" i="17"/>
  <c r="O30" i="17"/>
  <c r="Q27" i="17"/>
  <c r="Q30" i="17"/>
  <c r="M62" i="17" l="1"/>
  <c r="Q40" i="17"/>
  <c r="Q42" i="17"/>
  <c r="O44" i="17"/>
  <c r="O67" i="17" s="1"/>
  <c r="Q43" i="17"/>
  <c r="Q39" i="17"/>
  <c r="O40" i="17"/>
  <c r="O43" i="17"/>
  <c r="Q44" i="17"/>
  <c r="Q67" i="17" s="1"/>
  <c r="O42" i="17"/>
  <c r="O39" i="17"/>
  <c r="Q41" i="17"/>
  <c r="O41" i="17"/>
  <c r="Y46" i="16"/>
  <c r="V46" i="16"/>
  <c r="M66" i="17"/>
  <c r="K66" i="17"/>
  <c r="K62" i="17"/>
  <c r="BO17" i="17"/>
  <c r="AF21" i="16" s="1"/>
  <c r="BM17" i="17"/>
  <c r="AD21" i="16" s="1"/>
  <c r="BK17" i="17"/>
  <c r="AB21" i="16" s="1"/>
  <c r="BI17" i="17"/>
  <c r="Z21" i="16" s="1"/>
  <c r="AY17" i="17"/>
  <c r="P21" i="16" s="1"/>
  <c r="AW17" i="17"/>
  <c r="N21" i="16" s="1"/>
  <c r="AB50" i="16" l="1"/>
  <c r="AH50" i="16"/>
  <c r="AE50" i="16"/>
  <c r="AH49" i="16"/>
  <c r="AH46" i="16"/>
  <c r="AH47" i="16"/>
  <c r="AH48" i="16"/>
  <c r="BG30" i="17"/>
  <c r="BG42" i="17" s="1"/>
  <c r="AY30" i="17"/>
  <c r="BA30" i="17"/>
  <c r="BA42" i="17" s="1"/>
  <c r="BC30" i="17"/>
  <c r="BC42" i="17" s="1"/>
  <c r="BE30" i="17"/>
  <c r="BE42" i="17" s="1"/>
  <c r="AW30" i="17"/>
  <c r="Q62" i="17"/>
  <c r="O62" i="17"/>
  <c r="BM29" i="17" l="1"/>
  <c r="BM41" i="17" s="1"/>
  <c r="AD22" i="16" s="1"/>
  <c r="BO29" i="17"/>
  <c r="BO41" i="17" s="1"/>
  <c r="AF22" i="16" s="1"/>
  <c r="AY29" i="17"/>
  <c r="AY41" i="17" s="1"/>
  <c r="P22" i="16" s="1"/>
  <c r="BA29" i="17"/>
  <c r="BA41" i="17" s="1"/>
  <c r="R22" i="16" s="1"/>
  <c r="BC29" i="17"/>
  <c r="BC41" i="17" s="1"/>
  <c r="T22" i="16" s="1"/>
  <c r="AW29" i="17"/>
  <c r="AW41" i="17" s="1"/>
  <c r="N22" i="16" s="1"/>
  <c r="AB47" i="16"/>
  <c r="AE47" i="16"/>
  <c r="AE48" i="16"/>
  <c r="AB48" i="16"/>
  <c r="AE46" i="16"/>
  <c r="AB46" i="16"/>
  <c r="AB49" i="16"/>
  <c r="AE49" i="16"/>
  <c r="BI29" i="17"/>
  <c r="BI41" i="17" s="1"/>
  <c r="Z22" i="16" s="1"/>
  <c r="BG29" i="17"/>
  <c r="BG41" i="17" s="1"/>
  <c r="X22" i="16" s="1"/>
  <c r="BK29" i="17"/>
  <c r="BK41" i="17" s="1"/>
  <c r="AB22" i="16" s="1"/>
  <c r="BE29" i="17"/>
  <c r="BE41" i="17" s="1"/>
  <c r="V22" i="16" s="1"/>
  <c r="V23" i="16"/>
  <c r="X23" i="16"/>
  <c r="AW53" i="17"/>
  <c r="BA53" i="17"/>
  <c r="R23" i="16" s="1"/>
  <c r="BC53" i="17"/>
  <c r="T23" i="16" s="1"/>
  <c r="AW42" i="17"/>
  <c r="N23" i="16" s="1"/>
  <c r="AY42" i="17"/>
  <c r="AY53" i="17"/>
  <c r="C97" i="17"/>
  <c r="C69" i="17"/>
  <c r="C33" i="17"/>
  <c r="C80" i="17"/>
  <c r="C82" i="17"/>
  <c r="B70" i="17"/>
  <c r="B51" i="17"/>
  <c r="C60" i="17"/>
  <c r="F5" i="16"/>
  <c r="B9" i="17"/>
  <c r="C52" i="17"/>
  <c r="B38" i="17"/>
  <c r="R6" i="16"/>
  <c r="P6" i="16"/>
  <c r="Y4" i="16"/>
  <c r="AJ5" i="16"/>
  <c r="AJ4" i="16"/>
  <c r="B56" i="17"/>
  <c r="C56" i="17"/>
  <c r="B71" i="17"/>
  <c r="C16" i="17"/>
  <c r="C12" i="17"/>
  <c r="C63" i="17"/>
  <c r="C37" i="17"/>
  <c r="B68" i="17"/>
  <c r="C8" i="17"/>
  <c r="AK4" i="16"/>
  <c r="B26" i="17"/>
  <c r="B52" i="17"/>
  <c r="K6" i="16"/>
  <c r="C74" i="17"/>
  <c r="C48" i="17"/>
  <c r="C99" i="17"/>
  <c r="C25" i="17"/>
  <c r="C10" i="17"/>
  <c r="H5" i="16"/>
  <c r="B101" i="17"/>
  <c r="F6" i="16"/>
  <c r="AO5" i="16"/>
  <c r="M4" i="16"/>
  <c r="B60" i="17"/>
  <c r="S5" i="16"/>
  <c r="B19" i="17"/>
  <c r="B81" i="17"/>
  <c r="M6" i="16"/>
  <c r="W5" i="16"/>
  <c r="S6" i="16"/>
  <c r="I6" i="16"/>
  <c r="B32" i="17"/>
  <c r="C45" i="17"/>
  <c r="C11" i="17"/>
  <c r="R5" i="16"/>
  <c r="S4" i="16"/>
  <c r="B37" i="17"/>
  <c r="I4" i="16"/>
  <c r="B61" i="17"/>
  <c r="B14" i="17"/>
  <c r="B34" i="17"/>
  <c r="B20" i="17"/>
  <c r="T4" i="16"/>
  <c r="C21" i="17"/>
  <c r="C83" i="17"/>
  <c r="B66" i="17"/>
  <c r="B97" i="17"/>
  <c r="C67" i="17"/>
  <c r="C65" i="17"/>
  <c r="C78" i="17"/>
  <c r="AM4" i="16"/>
  <c r="B28" i="17"/>
  <c r="B76" i="17"/>
  <c r="B62" i="17"/>
  <c r="B39" i="17"/>
  <c r="AK5" i="16"/>
  <c r="C53" i="17"/>
  <c r="C47" i="17"/>
  <c r="B18" i="17"/>
  <c r="C35" i="17"/>
  <c r="B15" i="17"/>
  <c r="B29" i="17"/>
  <c r="L5" i="16"/>
  <c r="B59" i="17"/>
  <c r="C28" i="17"/>
  <c r="C58" i="17"/>
  <c r="C30" i="17"/>
  <c r="C38" i="17"/>
  <c r="U4" i="16"/>
  <c r="T6" i="16"/>
  <c r="B58" i="17"/>
  <c r="C72" i="17"/>
  <c r="C34" i="17"/>
  <c r="O6" i="16"/>
  <c r="J5" i="16"/>
  <c r="B54" i="17"/>
  <c r="B42" i="17"/>
  <c r="B40" i="17"/>
  <c r="C27" i="17"/>
  <c r="C87" i="17"/>
  <c r="B65" i="17"/>
  <c r="AM5" i="16"/>
  <c r="N5" i="16"/>
  <c r="B43" i="17"/>
  <c r="B53" i="17"/>
  <c r="C39" i="17"/>
  <c r="B93" i="17"/>
  <c r="B23" i="17"/>
  <c r="AL4" i="16"/>
  <c r="AE5" i="16"/>
  <c r="B72" i="17"/>
  <c r="C29" i="17"/>
  <c r="Y5" i="16"/>
  <c r="B27" i="17"/>
  <c r="C85" i="17"/>
  <c r="C49" i="17"/>
  <c r="B90" i="17"/>
  <c r="B105" i="17"/>
  <c r="B86" i="17"/>
  <c r="C46" i="17"/>
  <c r="C103" i="17"/>
  <c r="C84" i="17"/>
  <c r="B41" i="17"/>
  <c r="B64" i="17"/>
  <c r="B12" i="17"/>
  <c r="B85" i="17"/>
  <c r="I5" i="16"/>
  <c r="C62" i="17"/>
  <c r="B67" i="17"/>
  <c r="C71" i="17"/>
  <c r="M5" i="16"/>
  <c r="B74" i="17"/>
  <c r="B55" i="17"/>
  <c r="C76" i="17"/>
  <c r="B33" i="17"/>
  <c r="AN5" i="16"/>
  <c r="C101" i="17"/>
  <c r="C64" i="17"/>
  <c r="C66" i="17"/>
  <c r="C19" i="17"/>
  <c r="U5" i="16"/>
  <c r="C50" i="17"/>
  <c r="B49" i="17"/>
  <c r="C24" i="17"/>
  <c r="B94" i="17"/>
  <c r="B82" i="17"/>
  <c r="B63" i="17"/>
  <c r="B13" i="17"/>
  <c r="C42" i="17"/>
  <c r="C77" i="17"/>
  <c r="Q4" i="16"/>
  <c r="B78" i="17"/>
  <c r="J6" i="16"/>
  <c r="B77" i="17"/>
  <c r="B25" i="17"/>
  <c r="C17" i="17"/>
  <c r="B57" i="17"/>
  <c r="C44" i="17"/>
  <c r="H4" i="16"/>
  <c r="B48" i="17"/>
  <c r="C7" i="17"/>
  <c r="N4" i="16"/>
  <c r="B79" i="17"/>
  <c r="B84" i="17"/>
  <c r="C104" i="17"/>
  <c r="B102" i="17"/>
  <c r="B95" i="17"/>
  <c r="P4" i="16"/>
  <c r="C75" i="17"/>
  <c r="B103" i="17"/>
  <c r="C81" i="17"/>
  <c r="C91" i="17"/>
  <c r="B92" i="17"/>
  <c r="T5" i="16"/>
  <c r="C23" i="17"/>
  <c r="R4" i="16"/>
  <c r="V6" i="16"/>
  <c r="B104" i="17"/>
  <c r="C26" i="17"/>
  <c r="C20" i="17"/>
  <c r="B21" i="17"/>
  <c r="H6" i="16"/>
  <c r="B45" i="17"/>
  <c r="C96" i="17"/>
  <c r="C41" i="17"/>
  <c r="C86" i="17"/>
  <c r="B31" i="17"/>
  <c r="X4" i="16"/>
  <c r="C18" i="17"/>
  <c r="B11" i="17"/>
  <c r="C51" i="17"/>
  <c r="B47" i="17"/>
  <c r="C32" i="17"/>
  <c r="N6" i="16"/>
  <c r="C68" i="17"/>
  <c r="V5" i="16"/>
  <c r="B87" i="17"/>
  <c r="C105" i="17"/>
  <c r="B8" i="17"/>
  <c r="B98" i="17"/>
  <c r="W4" i="16"/>
  <c r="B80" i="17"/>
  <c r="AI5" i="16"/>
  <c r="B73" i="17"/>
  <c r="C98" i="17"/>
  <c r="C22" i="17"/>
  <c r="X6" i="16"/>
  <c r="C57" i="17"/>
  <c r="B88" i="17"/>
  <c r="C102" i="17"/>
  <c r="C31" i="17"/>
  <c r="B99" i="17"/>
  <c r="C73" i="17"/>
  <c r="X5" i="16"/>
  <c r="B24" i="17"/>
  <c r="B17" i="17"/>
  <c r="C92" i="17"/>
  <c r="B50" i="17"/>
  <c r="C93" i="17"/>
  <c r="C40" i="17"/>
  <c r="C70" i="17"/>
  <c r="C36" i="17"/>
  <c r="B89" i="17"/>
  <c r="B30" i="17"/>
  <c r="C95" i="17"/>
  <c r="C94" i="17"/>
  <c r="AO4" i="16"/>
  <c r="AG5" i="16"/>
  <c r="C55" i="17"/>
  <c r="Q6" i="16"/>
  <c r="C100" i="17"/>
  <c r="O4" i="16"/>
  <c r="K5" i="16"/>
  <c r="C90" i="17"/>
  <c r="C9" i="17"/>
  <c r="U6" i="16"/>
  <c r="V4" i="16"/>
  <c r="B36" i="17"/>
  <c r="C43" i="17"/>
  <c r="C59" i="17"/>
  <c r="B22" i="17"/>
  <c r="F4" i="16"/>
  <c r="C6" i="17"/>
  <c r="O5" i="16"/>
  <c r="P5" i="16"/>
  <c r="L6" i="16"/>
  <c r="W6" i="16"/>
  <c r="B69" i="17"/>
  <c r="L4" i="16"/>
  <c r="B83" i="17"/>
  <c r="B96" i="17"/>
  <c r="C61" i="17"/>
  <c r="B91" i="17"/>
  <c r="C89" i="17"/>
  <c r="B75" i="17"/>
  <c r="C13" i="17"/>
  <c r="B16" i="17"/>
  <c r="AL5" i="16"/>
  <c r="B6" i="17"/>
  <c r="B10" i="17"/>
  <c r="Q5" i="16"/>
  <c r="B100" i="17"/>
  <c r="Y6" i="16"/>
  <c r="C54" i="17"/>
  <c r="C88" i="17"/>
  <c r="C15" i="17"/>
  <c r="B35" i="17"/>
  <c r="C14" i="17"/>
  <c r="B44" i="17"/>
  <c r="AN4" i="16"/>
  <c r="C79" i="17"/>
  <c r="B46" i="17"/>
  <c r="B7" i="17"/>
  <c r="C2" i="16" l="1"/>
  <c r="BO27" i="17"/>
  <c r="BO39" i="17" s="1"/>
  <c r="AF20" i="16" s="1"/>
  <c r="BE27" i="17"/>
  <c r="BE39" i="17" s="1"/>
  <c r="V20" i="16" s="1"/>
  <c r="BC27" i="17"/>
  <c r="BC39" i="17" s="1"/>
  <c r="T20" i="16" s="1"/>
  <c r="BI27" i="17"/>
  <c r="BI39" i="17" s="1"/>
  <c r="Z20" i="16" s="1"/>
  <c r="BM27" i="17"/>
  <c r="BM39" i="17" s="1"/>
  <c r="AD20" i="16" s="1"/>
  <c r="BK27" i="17"/>
  <c r="BK39" i="17" s="1"/>
  <c r="AB20" i="16" s="1"/>
  <c r="AY27" i="17"/>
  <c r="AY39" i="17" s="1"/>
  <c r="P20" i="16" s="1"/>
  <c r="BG27" i="17"/>
  <c r="BG39" i="17" s="1"/>
  <c r="X20" i="16" s="1"/>
  <c r="AW27" i="17"/>
  <c r="AW39" i="17" s="1"/>
  <c r="N20" i="16" s="1"/>
  <c r="BA27" i="17"/>
  <c r="BA39" i="17" s="1"/>
  <c r="R20" i="16" s="1"/>
  <c r="Q57" i="17"/>
  <c r="Q79" i="17"/>
  <c r="O23" i="17"/>
  <c r="R43" i="16" s="1"/>
  <c r="Q21" i="17"/>
  <c r="Q77" i="17"/>
  <c r="O54" i="17"/>
  <c r="Q74" i="17"/>
  <c r="O53" i="17"/>
  <c r="Q53" i="17"/>
  <c r="O76" i="17"/>
  <c r="Q22" i="17"/>
  <c r="O79" i="17"/>
  <c r="O80" i="17"/>
  <c r="O21" i="17"/>
  <c r="O20" i="17"/>
  <c r="R40" i="16" s="1"/>
  <c r="Q20" i="17"/>
  <c r="T40" i="16" s="1"/>
  <c r="Q75" i="17"/>
  <c r="Q19" i="17"/>
  <c r="T39" i="16" s="1"/>
  <c r="O74" i="17"/>
  <c r="O73" i="17"/>
  <c r="O78" i="17"/>
  <c r="Q55" i="17"/>
  <c r="T41" i="16" s="1"/>
  <c r="O56" i="17"/>
  <c r="R42" i="16" s="1"/>
  <c r="Q80" i="17"/>
  <c r="Q78" i="17"/>
  <c r="O77" i="17"/>
  <c r="Q73" i="17"/>
  <c r="O19" i="17"/>
  <c r="R39" i="16" s="1"/>
  <c r="Q76" i="17"/>
  <c r="Q56" i="17"/>
  <c r="T42" i="16" s="1"/>
  <c r="O22" i="17"/>
  <c r="Q23" i="17"/>
  <c r="T43" i="16" s="1"/>
  <c r="O55" i="17"/>
  <c r="R41" i="16" s="1"/>
  <c r="O57" i="17"/>
  <c r="Q54" i="17"/>
  <c r="O75" i="17"/>
  <c r="O66" i="17"/>
  <c r="Q66" i="17"/>
  <c r="BG22" i="17"/>
  <c r="BG20" i="17"/>
  <c r="BE16" i="17"/>
  <c r="BE17" i="17"/>
  <c r="V21" i="16" s="1"/>
  <c r="BG18" i="17"/>
  <c r="BG17" i="17"/>
  <c r="X21" i="16" s="1"/>
  <c r="BE19" i="17"/>
  <c r="BE53" i="17" s="1"/>
  <c r="BG23" i="17"/>
  <c r="X27" i="16" s="1"/>
  <c r="BE20" i="17"/>
  <c r="BG19" i="17"/>
  <c r="BG53" i="17" s="1"/>
  <c r="BG21" i="17"/>
  <c r="BE23" i="17"/>
  <c r="V27" i="16" s="1"/>
  <c r="BG16" i="17"/>
  <c r="BE18" i="17"/>
  <c r="BE22" i="17"/>
  <c r="BE21" i="17"/>
  <c r="AI17" i="17"/>
  <c r="AI85" i="17" s="1"/>
  <c r="AL37" i="16" s="1"/>
  <c r="AI51" i="17"/>
  <c r="AM17" i="17"/>
  <c r="AM85" i="17" s="1"/>
  <c r="AP37" i="16" s="1"/>
  <c r="AC51" i="17"/>
  <c r="W51" i="17"/>
  <c r="W17" i="17"/>
  <c r="W85" i="17" s="1"/>
  <c r="Z37" i="16" s="1"/>
  <c r="O17" i="17"/>
  <c r="O85" i="17" s="1"/>
  <c r="R37" i="16" s="1"/>
  <c r="S17" i="17"/>
  <c r="S85" i="17" s="1"/>
  <c r="V37" i="16" s="1"/>
  <c r="Q51" i="17"/>
  <c r="AK17" i="17"/>
  <c r="AK85" i="17" s="1"/>
  <c r="AN37" i="16" s="1"/>
  <c r="AG17" i="17"/>
  <c r="AG85" i="17" s="1"/>
  <c r="AJ37" i="16" s="1"/>
  <c r="AM51" i="17"/>
  <c r="AA17" i="17"/>
  <c r="AA85" i="17" s="1"/>
  <c r="AD37" i="16" s="1"/>
  <c r="K51" i="17"/>
  <c r="M17" i="17"/>
  <c r="M85" i="17" s="1"/>
  <c r="P37" i="16" s="1"/>
  <c r="Y17" i="17"/>
  <c r="Y85" i="17" s="1"/>
  <c r="AB37" i="16" s="1"/>
  <c r="O51" i="17"/>
  <c r="Q17" i="17"/>
  <c r="Q85" i="17" s="1"/>
  <c r="T37" i="16" s="1"/>
  <c r="K17" i="17"/>
  <c r="K85" i="17" s="1"/>
  <c r="N37" i="16" s="1"/>
  <c r="AG51" i="17"/>
  <c r="AE17" i="17"/>
  <c r="AE85" i="17" s="1"/>
  <c r="AH37" i="16" s="1"/>
  <c r="AK51" i="17"/>
  <c r="AC17" i="17"/>
  <c r="AC85" i="17" s="1"/>
  <c r="AF37" i="16" s="1"/>
  <c r="U17" i="17"/>
  <c r="U85" i="17" s="1"/>
  <c r="X37" i="16" s="1"/>
  <c r="M51" i="17"/>
  <c r="S51" i="17"/>
  <c r="U51" i="17"/>
  <c r="AO17" i="17"/>
  <c r="AO85" i="17" s="1"/>
  <c r="AR37" i="16" s="1"/>
  <c r="AO51" i="17"/>
  <c r="AE51" i="17"/>
  <c r="AA51" i="17"/>
  <c r="Y51" i="17"/>
  <c r="Q65" i="17"/>
  <c r="O65" i="17"/>
  <c r="BC23" i="17"/>
  <c r="T27" i="16" s="1"/>
  <c r="BC20" i="17"/>
  <c r="BC18" i="17"/>
  <c r="BA18" i="17"/>
  <c r="BA22" i="17"/>
  <c r="BA20" i="17"/>
  <c r="BA19" i="17"/>
  <c r="BA17" i="17"/>
  <c r="R21" i="16" s="1"/>
  <c r="BC16" i="17"/>
  <c r="BA21" i="17"/>
  <c r="BC22" i="17"/>
  <c r="BC17" i="17"/>
  <c r="T21" i="16" s="1"/>
  <c r="BC19" i="17"/>
  <c r="BC21" i="17"/>
  <c r="BA23" i="17"/>
  <c r="R27" i="16" s="1"/>
  <c r="BA16" i="17"/>
  <c r="O63" i="17"/>
  <c r="Q63" i="17"/>
  <c r="M65" i="17"/>
  <c r="P39" i="16"/>
  <c r="N39" i="16"/>
  <c r="K65" i="17"/>
  <c r="BM33" i="17"/>
  <c r="BM45" i="17" s="1"/>
  <c r="AD26" i="16" s="1"/>
  <c r="BE33" i="17"/>
  <c r="BE45" i="17" s="1"/>
  <c r="V26" i="16" s="1"/>
  <c r="AW33" i="17"/>
  <c r="AW45" i="17" s="1"/>
  <c r="N26" i="16" s="1"/>
  <c r="BO33" i="17"/>
  <c r="BO45" i="17" s="1"/>
  <c r="AF26" i="16" s="1"/>
  <c r="BG33" i="17"/>
  <c r="BG45" i="17" s="1"/>
  <c r="X26" i="16" s="1"/>
  <c r="AY33" i="17"/>
  <c r="AY45" i="17" s="1"/>
  <c r="P26" i="16" s="1"/>
  <c r="BI33" i="17"/>
  <c r="BI45" i="17" s="1"/>
  <c r="Z26" i="16" s="1"/>
  <c r="BA33" i="17"/>
  <c r="BA45" i="17" s="1"/>
  <c r="R26" i="16" s="1"/>
  <c r="BK33" i="17"/>
  <c r="BK45" i="17" s="1"/>
  <c r="AB26" i="16" s="1"/>
  <c r="BC33" i="17"/>
  <c r="BC45" i="17" s="1"/>
  <c r="T26" i="16" s="1"/>
  <c r="AO16" i="17"/>
  <c r="AR36" i="16" s="1"/>
  <c r="AE50" i="17"/>
  <c r="AE16" i="17"/>
  <c r="AH36" i="16" s="1"/>
  <c r="AC50" i="17"/>
  <c r="U16" i="17"/>
  <c r="X36" i="16" s="1"/>
  <c r="Y16" i="17"/>
  <c r="AB36" i="16" s="1"/>
  <c r="Q16" i="17"/>
  <c r="T36" i="16" s="1"/>
  <c r="U50" i="17"/>
  <c r="M50" i="17"/>
  <c r="S16" i="17"/>
  <c r="V36" i="16" s="1"/>
  <c r="K16" i="17"/>
  <c r="N36" i="16" s="1"/>
  <c r="O16" i="17"/>
  <c r="R36" i="16" s="1"/>
  <c r="W16" i="17"/>
  <c r="Z36" i="16" s="1"/>
  <c r="AI50" i="17"/>
  <c r="AI16" i="17"/>
  <c r="AL36" i="16" s="1"/>
  <c r="AG50" i="17"/>
  <c r="AC16" i="17"/>
  <c r="AF36" i="16" s="1"/>
  <c r="Q50" i="17"/>
  <c r="AK16" i="17"/>
  <c r="AN36" i="16" s="1"/>
  <c r="K50" i="17"/>
  <c r="AM50" i="17"/>
  <c r="AM16" i="17"/>
  <c r="AP36" i="16" s="1"/>
  <c r="AK50" i="17"/>
  <c r="AA50" i="17"/>
  <c r="S50" i="17"/>
  <c r="Y50" i="17"/>
  <c r="W50" i="17"/>
  <c r="O50" i="17"/>
  <c r="AG16" i="17"/>
  <c r="AJ36" i="16" s="1"/>
  <c r="AO50" i="17"/>
  <c r="AA16" i="17"/>
  <c r="AD36" i="16" s="1"/>
  <c r="M16" i="17"/>
  <c r="P36" i="16" s="1"/>
  <c r="AK18" i="17"/>
  <c r="AM52" i="17"/>
  <c r="AE52" i="17"/>
  <c r="AA52" i="17"/>
  <c r="S52" i="17"/>
  <c r="O18" i="17"/>
  <c r="U52" i="17"/>
  <c r="Y52" i="17"/>
  <c r="U18" i="17"/>
  <c r="AO52" i="17"/>
  <c r="AI52" i="17"/>
  <c r="AM18" i="17"/>
  <c r="AC18" i="17"/>
  <c r="Y18" i="17"/>
  <c r="S18" i="17"/>
  <c r="Q52" i="17"/>
  <c r="M18" i="17"/>
  <c r="K18" i="17"/>
  <c r="AG52" i="17"/>
  <c r="AI18" i="17"/>
  <c r="AG18" i="17"/>
  <c r="AA18" i="17"/>
  <c r="K52" i="17"/>
  <c r="W52" i="17"/>
  <c r="W18" i="17"/>
  <c r="O52" i="17"/>
  <c r="AO18" i="17"/>
  <c r="AE18" i="17"/>
  <c r="AK52" i="17"/>
  <c r="AC52" i="17"/>
  <c r="Q18" i="17"/>
  <c r="M52" i="17"/>
  <c r="M63" i="17"/>
  <c r="K63" i="17"/>
  <c r="N38" i="16"/>
  <c r="M64" i="17"/>
  <c r="P38" i="16"/>
  <c r="K64" i="17"/>
  <c r="R38" i="16"/>
  <c r="Q64" i="17"/>
  <c r="T38" i="16"/>
  <c r="O64" i="17"/>
  <c r="P23" i="16"/>
</calcChain>
</file>

<file path=xl/sharedStrings.xml><?xml version="1.0" encoding="utf-8"?>
<sst xmlns="http://schemas.openxmlformats.org/spreadsheetml/2006/main" count="3291" uniqueCount="1008">
  <si>
    <t>武器</t>
    <rPh sb="0" eb="2">
      <t>ブキ</t>
    </rPh>
    <phoneticPr fontId="1"/>
  </si>
  <si>
    <t>どくばり</t>
  </si>
  <si>
    <t>ひのきのぼう</t>
  </si>
  <si>
    <t>たけのやり</t>
  </si>
  <si>
    <t>とがったホネ</t>
  </si>
  <si>
    <t>こんぼう</t>
  </si>
  <si>
    <t>おおきづち</t>
  </si>
  <si>
    <t>いしのキバ</t>
  </si>
  <si>
    <t>ブロンズナイフ</t>
  </si>
  <si>
    <t>どうのつるぎ</t>
  </si>
  <si>
    <t>ゲントのつえ</t>
  </si>
  <si>
    <t>ブーメラン</t>
  </si>
  <si>
    <t>いばらのムチ</t>
  </si>
  <si>
    <t>いしのオノ</t>
  </si>
  <si>
    <t>てつのツメ</t>
  </si>
  <si>
    <t>てつのつえ</t>
  </si>
  <si>
    <t>どくがのナイフ</t>
  </si>
  <si>
    <t>やいばのブーメラン</t>
  </si>
  <si>
    <t>くさりがま</t>
  </si>
  <si>
    <t>チェーンクロス</t>
  </si>
  <si>
    <t>いかずちのつえ</t>
  </si>
  <si>
    <t>おおかなづち</t>
  </si>
  <si>
    <t>はがねのつるぎ</t>
  </si>
  <si>
    <t>キラーピアス</t>
  </si>
  <si>
    <t>てんばつのつえ</t>
  </si>
  <si>
    <t>はがねのキバ</t>
  </si>
  <si>
    <t>モーニングスター</t>
  </si>
  <si>
    <t>まふうじのつえ</t>
  </si>
  <si>
    <t>はじゃのつるぎ</t>
  </si>
  <si>
    <t>バトルアックス</t>
  </si>
  <si>
    <t>ほのおのツメ</t>
  </si>
  <si>
    <t>のこぎりがたな</t>
  </si>
  <si>
    <t>グラコスのヤリ</t>
  </si>
  <si>
    <t>つきのおうぎ</t>
  </si>
  <si>
    <t>プラチナソード</t>
  </si>
  <si>
    <t>こおりのやいば</t>
  </si>
  <si>
    <t>さびたつるぎ</t>
  </si>
  <si>
    <t>マグマのつえ</t>
  </si>
  <si>
    <t>ウォーハンマー</t>
  </si>
  <si>
    <t>はがねのムチ</t>
  </si>
  <si>
    <t>ほのおのブーメラン</t>
  </si>
  <si>
    <t>まどろみのけん</t>
  </si>
  <si>
    <t>ふっかつのつえ</t>
  </si>
  <si>
    <t>はやぶさのけん</t>
  </si>
  <si>
    <t>ゆうわくのけん</t>
  </si>
  <si>
    <t>まじゅうのキバ</t>
  </si>
  <si>
    <t>うみなりのつえ</t>
  </si>
  <si>
    <t>ゾンビキラー</t>
  </si>
  <si>
    <t>ほのおのつるぎ</t>
  </si>
  <si>
    <t>あくまのツメ</t>
  </si>
  <si>
    <t>ドラゴンキラー</t>
  </si>
  <si>
    <t>みなごろしのけん</t>
  </si>
  <si>
    <t>らいめいのけん</t>
  </si>
  <si>
    <t>カルべロビュート</t>
  </si>
  <si>
    <t>デーモンスピア</t>
  </si>
  <si>
    <t>きせきのつるぎ</t>
  </si>
  <si>
    <t>ふぶきのつるぎ</t>
  </si>
  <si>
    <t>たいようのおうぎ</t>
  </si>
  <si>
    <t>ビッグボウガン</t>
  </si>
  <si>
    <t>まじんのかなづち</t>
  </si>
  <si>
    <t>はかいのてっきゅう</t>
  </si>
  <si>
    <t>メタルキングのけん</t>
  </si>
  <si>
    <t>ラミアスのつるぎ</t>
  </si>
  <si>
    <t>オリハルコンのキバ</t>
  </si>
  <si>
    <t>グリンガムのムチ</t>
  </si>
  <si>
    <t>おなべのフタ</t>
  </si>
  <si>
    <t>かわのたて</t>
  </si>
  <si>
    <t>うろこのたて</t>
  </si>
  <si>
    <t>せいどうのたて</t>
  </si>
  <si>
    <t>てつのたて</t>
  </si>
  <si>
    <t>シルバートレイ</t>
  </si>
  <si>
    <t>まほうのたて</t>
  </si>
  <si>
    <t>プラチナシールド</t>
  </si>
  <si>
    <t>ドラゴンシールド</t>
  </si>
  <si>
    <t>ふうじんのたて</t>
  </si>
  <si>
    <t>ほのおのたて</t>
  </si>
  <si>
    <t>ちからのたて</t>
  </si>
  <si>
    <t>オーガシールド</t>
  </si>
  <si>
    <t>みかがみのたて</t>
  </si>
  <si>
    <t>エンデのたて</t>
  </si>
  <si>
    <t>はめつのたて</t>
  </si>
  <si>
    <t>スフィーダのたて</t>
  </si>
  <si>
    <t>メタルキングのたて</t>
  </si>
  <si>
    <t>ただのぬのきれ</t>
  </si>
  <si>
    <t>ぬののふく</t>
  </si>
  <si>
    <t>たびびとのふく</t>
  </si>
  <si>
    <t>きぬのタキシード</t>
  </si>
  <si>
    <t>かわのよろい</t>
  </si>
  <si>
    <t>かわのこしまき</t>
  </si>
  <si>
    <t>きぬのローブ</t>
  </si>
  <si>
    <t>うろこのよろい</t>
  </si>
  <si>
    <t>ステテコパンツ</t>
  </si>
  <si>
    <t>かわのドレス</t>
  </si>
  <si>
    <t>バニースーツ</t>
  </si>
  <si>
    <t>けがわのマント</t>
  </si>
  <si>
    <t>くさりかたびら</t>
  </si>
  <si>
    <t>おどりこのふく</t>
  </si>
  <si>
    <t>スライムのふく</t>
  </si>
  <si>
    <t>せいどうのよろい</t>
  </si>
  <si>
    <t>エッチなしたぎ</t>
  </si>
  <si>
    <t>きぞくのふく</t>
  </si>
  <si>
    <t>てつのむねあて</t>
  </si>
  <si>
    <t>てつのよろい</t>
  </si>
  <si>
    <t>みかわしのふく</t>
  </si>
  <si>
    <t>はがねのよろい</t>
  </si>
  <si>
    <t>カメのこうら</t>
  </si>
  <si>
    <t>ぎんのむねあて</t>
  </si>
  <si>
    <t>まどうしのローブ</t>
  </si>
  <si>
    <t>ふしぎなボレロ</t>
  </si>
  <si>
    <t>シルバーメイル</t>
  </si>
  <si>
    <t>マジカルスカート</t>
  </si>
  <si>
    <t>あつでのよろい</t>
  </si>
  <si>
    <t>まほうのよろい</t>
  </si>
  <si>
    <t>せいれいのよろい</t>
  </si>
  <si>
    <t>ひかりのドレス</t>
  </si>
  <si>
    <t>やいばのよろい</t>
  </si>
  <si>
    <t>ドラゴンメイル</t>
  </si>
  <si>
    <t>みずのはごろも</t>
  </si>
  <si>
    <t>プラチナメイル</t>
  </si>
  <si>
    <t>スライムアーマー</t>
  </si>
  <si>
    <t>ほのおのよろい</t>
  </si>
  <si>
    <t>しんぴのよろい</t>
  </si>
  <si>
    <t>オルゴーのよろい</t>
  </si>
  <si>
    <t>プリンセスローブ</t>
  </si>
  <si>
    <t>まじんのよろい</t>
  </si>
  <si>
    <t>エンデのよろい</t>
  </si>
  <si>
    <t>ギガントアーマー</t>
  </si>
  <si>
    <t>てんしのレオタード</t>
  </si>
  <si>
    <t>ドラゴンローブ</t>
  </si>
  <si>
    <t>ミラーアーマー</t>
  </si>
  <si>
    <t>メタルキングよろい</t>
  </si>
  <si>
    <t>かわのぼうし</t>
  </si>
  <si>
    <t>とんがりぼうし</t>
  </si>
  <si>
    <t>きのぼうし</t>
  </si>
  <si>
    <t>かいがらぼうし</t>
  </si>
  <si>
    <t>ヘアバンド</t>
  </si>
  <si>
    <t>けがわのフード</t>
  </si>
  <si>
    <t>ぎんのかみかざり</t>
  </si>
  <si>
    <t>てつかぶと</t>
  </si>
  <si>
    <t>うさみみバンド</t>
  </si>
  <si>
    <t>てっかめん</t>
  </si>
  <si>
    <t>やまびこのぼうし</t>
  </si>
  <si>
    <t>かぜのぼうし</t>
  </si>
  <si>
    <t>しあわせのぼうし</t>
  </si>
  <si>
    <t>プラチナヘッド</t>
  </si>
  <si>
    <t>スライムメット</t>
  </si>
  <si>
    <t>ちりょくのかぶと</t>
  </si>
  <si>
    <t>おうごんのティアラ</t>
  </si>
  <si>
    <t>セバスのかぶと</t>
  </si>
  <si>
    <t>グレートヘルム</t>
  </si>
  <si>
    <t>エンデのかぶと</t>
  </si>
  <si>
    <t>メタルキングヘルム</t>
  </si>
  <si>
    <t>スライムピアス</t>
  </si>
  <si>
    <t>ちからのルビー</t>
  </si>
  <si>
    <t>ちょうネクタイ</t>
  </si>
  <si>
    <t>おばさんのゆびわ</t>
  </si>
  <si>
    <t>あみタイツ</t>
  </si>
  <si>
    <t>おしゃれなバンダナ</t>
  </si>
  <si>
    <t>いのりのゆびわ</t>
  </si>
  <si>
    <t>きんのゆびわ</t>
  </si>
  <si>
    <t>メガザルのうでわ</t>
  </si>
  <si>
    <t>しんじつのオーブ</t>
  </si>
  <si>
    <t>きんのブレスレット</t>
  </si>
  <si>
    <t>くじけぬこころ</t>
  </si>
  <si>
    <t>はやてのリング</t>
  </si>
  <si>
    <t>ほしふるうでわ</t>
  </si>
  <si>
    <t>盾</t>
    <rPh sb="0" eb="1">
      <t>タテ</t>
    </rPh>
    <phoneticPr fontId="1"/>
  </si>
  <si>
    <t>鎧</t>
    <rPh sb="0" eb="1">
      <t>ヨロイ</t>
    </rPh>
    <phoneticPr fontId="1"/>
  </si>
  <si>
    <t>兜</t>
    <rPh sb="0" eb="1">
      <t>カブト</t>
    </rPh>
    <phoneticPr fontId="1"/>
  </si>
  <si>
    <t>装飾品（守）</t>
    <rPh sb="0" eb="3">
      <t>ソウショクヒン</t>
    </rPh>
    <rPh sb="4" eb="5">
      <t>マモル</t>
    </rPh>
    <phoneticPr fontId="1"/>
  </si>
  <si>
    <t>装飾品（攻）</t>
    <rPh sb="0" eb="3">
      <t>ソウショクヒン</t>
    </rPh>
    <rPh sb="4" eb="5">
      <t>オサム</t>
    </rPh>
    <phoneticPr fontId="1"/>
  </si>
  <si>
    <t>装飾品（素）</t>
    <rPh sb="0" eb="3">
      <t>ソウショクヒン</t>
    </rPh>
    <rPh sb="4" eb="5">
      <t>ス</t>
    </rPh>
    <phoneticPr fontId="1"/>
  </si>
  <si>
    <t>Lv</t>
  </si>
  <si>
    <t>HP</t>
  </si>
  <si>
    <t>MP</t>
  </si>
  <si>
    <t>力</t>
  </si>
  <si>
    <t>早</t>
  </si>
  <si>
    <t>守</t>
  </si>
  <si>
    <t>賢</t>
  </si>
  <si>
    <t>格</t>
  </si>
  <si>
    <t>EX</t>
  </si>
  <si>
    <t>NEXT</t>
  </si>
  <si>
    <t>主人公</t>
    <rPh sb="0" eb="3">
      <t>シュジンコウ</t>
    </rPh>
    <phoneticPr fontId="1"/>
  </si>
  <si>
    <t>値</t>
    <rPh sb="0" eb="1">
      <t>アタイ</t>
    </rPh>
    <phoneticPr fontId="1"/>
  </si>
  <si>
    <t>ハッサン</t>
  </si>
  <si>
    <t>ハッサン</t>
    <phoneticPr fontId="1"/>
  </si>
  <si>
    <t>ミレーユ</t>
  </si>
  <si>
    <t>ミレーユ</t>
    <phoneticPr fontId="1"/>
  </si>
  <si>
    <t>バーバラ</t>
  </si>
  <si>
    <t>バーバラ</t>
    <phoneticPr fontId="1"/>
  </si>
  <si>
    <t>チャモロ</t>
  </si>
  <si>
    <t>チャモロ</t>
    <phoneticPr fontId="1"/>
  </si>
  <si>
    <t>テリー</t>
  </si>
  <si>
    <t>テリー</t>
    <phoneticPr fontId="1"/>
  </si>
  <si>
    <t>アモス</t>
  </si>
  <si>
    <t>アモス</t>
    <phoneticPr fontId="1"/>
  </si>
  <si>
    <t>ドランゴ</t>
  </si>
  <si>
    <t>ドランゴ</t>
    <phoneticPr fontId="1"/>
  </si>
  <si>
    <t>特技名</t>
    <rPh sb="0" eb="2">
      <t>トクギ</t>
    </rPh>
    <rPh sb="2" eb="3">
      <t>メイ</t>
    </rPh>
    <phoneticPr fontId="1"/>
  </si>
  <si>
    <t>最小</t>
    <rPh sb="0" eb="2">
      <t>サイショウ</t>
    </rPh>
    <phoneticPr fontId="1"/>
  </si>
  <si>
    <t>最大</t>
    <rPh sb="0" eb="2">
      <t>サイダイ</t>
    </rPh>
    <phoneticPr fontId="1"/>
  </si>
  <si>
    <t>属性</t>
    <rPh sb="0" eb="2">
      <t>ゾクセイ</t>
    </rPh>
    <phoneticPr fontId="1"/>
  </si>
  <si>
    <t>打撃</t>
    <rPh sb="0" eb="2">
      <t>ダゲキ</t>
    </rPh>
    <phoneticPr fontId="1"/>
  </si>
  <si>
    <t>なし</t>
    <phoneticPr fontId="1"/>
  </si>
  <si>
    <t>物理</t>
    <rPh sb="0" eb="2">
      <t>ブツリ</t>
    </rPh>
    <phoneticPr fontId="1"/>
  </si>
  <si>
    <t>特殊</t>
    <rPh sb="0" eb="2">
      <t>トクシュ</t>
    </rPh>
    <phoneticPr fontId="1"/>
  </si>
  <si>
    <t>魔人斬り</t>
    <rPh sb="0" eb="2">
      <t>マジン</t>
    </rPh>
    <rPh sb="2" eb="3">
      <t>キ</t>
    </rPh>
    <phoneticPr fontId="1"/>
  </si>
  <si>
    <t>飛び膝蹴り</t>
    <rPh sb="0" eb="1">
      <t>ト</t>
    </rPh>
    <rPh sb="2" eb="3">
      <t>ヒザ</t>
    </rPh>
    <rPh sb="3" eb="4">
      <t>ケ</t>
    </rPh>
    <phoneticPr fontId="1"/>
  </si>
  <si>
    <t>ヒャド</t>
    <phoneticPr fontId="1"/>
  </si>
  <si>
    <t>諸刃斬り</t>
    <rPh sb="0" eb="2">
      <t>モロハ</t>
    </rPh>
    <rPh sb="2" eb="3">
      <t>ギ</t>
    </rPh>
    <phoneticPr fontId="1"/>
  </si>
  <si>
    <t>正拳突き</t>
    <rPh sb="0" eb="2">
      <t>セイケン</t>
    </rPh>
    <rPh sb="2" eb="3">
      <t>ツ</t>
    </rPh>
    <phoneticPr fontId="1"/>
  </si>
  <si>
    <t>火炎の息</t>
    <rPh sb="0" eb="2">
      <t>カエン</t>
    </rPh>
    <rPh sb="3" eb="4">
      <t>イキ</t>
    </rPh>
    <phoneticPr fontId="1"/>
  </si>
  <si>
    <t>メラ</t>
    <phoneticPr fontId="1"/>
  </si>
  <si>
    <t>メラミ</t>
    <phoneticPr fontId="1"/>
  </si>
  <si>
    <t>ライデイン</t>
    <phoneticPr fontId="1"/>
  </si>
  <si>
    <t>火炎</t>
    <rPh sb="0" eb="2">
      <t>カエン</t>
    </rPh>
    <phoneticPr fontId="1"/>
  </si>
  <si>
    <t>デイン</t>
    <phoneticPr fontId="1"/>
  </si>
  <si>
    <t>岩石</t>
    <rPh sb="0" eb="2">
      <t>ガンセキ</t>
    </rPh>
    <phoneticPr fontId="1"/>
  </si>
  <si>
    <t>ダメージ幅</t>
    <rPh sb="4" eb="5">
      <t>ハバ</t>
    </rPh>
    <phoneticPr fontId="1"/>
  </si>
  <si>
    <t>防具</t>
    <rPh sb="0" eb="2">
      <t>ボウグ</t>
    </rPh>
    <phoneticPr fontId="1"/>
  </si>
  <si>
    <t>炎</t>
    <rPh sb="0" eb="1">
      <t>ホノオ</t>
    </rPh>
    <phoneticPr fontId="1"/>
  </si>
  <si>
    <t>吹雪</t>
    <rPh sb="0" eb="2">
      <t>フブキ</t>
    </rPh>
    <phoneticPr fontId="1"/>
  </si>
  <si>
    <t>メラ</t>
    <phoneticPr fontId="1"/>
  </si>
  <si>
    <t>ギラ</t>
    <phoneticPr fontId="1"/>
  </si>
  <si>
    <t>イオ</t>
    <phoneticPr fontId="1"/>
  </si>
  <si>
    <t>バギ</t>
    <phoneticPr fontId="1"/>
  </si>
  <si>
    <t>まどうしのローブ</t>
    <phoneticPr fontId="1"/>
  </si>
  <si>
    <t>シルバーメイル</t>
    <phoneticPr fontId="1"/>
  </si>
  <si>
    <t>まほうのよろい</t>
    <phoneticPr fontId="1"/>
  </si>
  <si>
    <t>せいれいのよろい</t>
    <phoneticPr fontId="1"/>
  </si>
  <si>
    <t>ドラゴンメイル</t>
    <phoneticPr fontId="1"/>
  </si>
  <si>
    <t>みずのはごろも</t>
    <phoneticPr fontId="1"/>
  </si>
  <si>
    <t>プラチナメイル</t>
    <phoneticPr fontId="1"/>
  </si>
  <si>
    <t>ほのおのよろい</t>
    <phoneticPr fontId="1"/>
  </si>
  <si>
    <t>オルゴーのよろい</t>
    <phoneticPr fontId="1"/>
  </si>
  <si>
    <t>まじんのよろい</t>
    <phoneticPr fontId="1"/>
  </si>
  <si>
    <t>プリンセスローブ</t>
    <phoneticPr fontId="1"/>
  </si>
  <si>
    <t>ギガントアーマー</t>
    <phoneticPr fontId="1"/>
  </si>
  <si>
    <t>ドラゴンローブ</t>
    <phoneticPr fontId="1"/>
  </si>
  <si>
    <t>メタルキングよろい</t>
    <phoneticPr fontId="1"/>
  </si>
  <si>
    <t>てつのたて</t>
    <phoneticPr fontId="1"/>
  </si>
  <si>
    <t>まほうのたて</t>
    <phoneticPr fontId="1"/>
  </si>
  <si>
    <t>プラチナシールド</t>
    <phoneticPr fontId="1"/>
  </si>
  <si>
    <t>ドラゴンシールド</t>
    <phoneticPr fontId="1"/>
  </si>
  <si>
    <t>ほのおのたて</t>
    <phoneticPr fontId="1"/>
  </si>
  <si>
    <t>オーガシールド</t>
    <phoneticPr fontId="1"/>
  </si>
  <si>
    <t>みかがみのたて</t>
    <phoneticPr fontId="1"/>
  </si>
  <si>
    <t>エンデのたて</t>
    <phoneticPr fontId="1"/>
  </si>
  <si>
    <t>スフィーダのたて</t>
    <phoneticPr fontId="1"/>
  </si>
  <si>
    <t>メタルキングのたて</t>
    <phoneticPr fontId="1"/>
  </si>
  <si>
    <t>戦闘ID</t>
    <rPh sb="0" eb="2">
      <t>セントウ</t>
    </rPh>
    <phoneticPr fontId="1"/>
  </si>
  <si>
    <t>ボス名</t>
    <rPh sb="2" eb="3">
      <t>メイ</t>
    </rPh>
    <phoneticPr fontId="1"/>
  </si>
  <si>
    <t>Lv</t>
    <phoneticPr fontId="1"/>
  </si>
  <si>
    <t>命</t>
    <rPh sb="0" eb="1">
      <t>イノチ</t>
    </rPh>
    <phoneticPr fontId="1"/>
  </si>
  <si>
    <t>不</t>
    <rPh sb="0" eb="1">
      <t>フ</t>
    </rPh>
    <phoneticPr fontId="1"/>
  </si>
  <si>
    <t>力</t>
    <rPh sb="0" eb="1">
      <t>チカラ</t>
    </rPh>
    <phoneticPr fontId="1"/>
  </si>
  <si>
    <t>守</t>
    <rPh sb="0" eb="1">
      <t>マモ</t>
    </rPh>
    <phoneticPr fontId="1"/>
  </si>
  <si>
    <t>早</t>
    <rPh sb="0" eb="1">
      <t>ハヤ</t>
    </rPh>
    <phoneticPr fontId="1"/>
  </si>
  <si>
    <t>職業</t>
    <rPh sb="0" eb="2">
      <t>ショクギョウ</t>
    </rPh>
    <phoneticPr fontId="1"/>
  </si>
  <si>
    <t>無職</t>
    <rPh sb="0" eb="2">
      <t>ムショク</t>
    </rPh>
    <phoneticPr fontId="1"/>
  </si>
  <si>
    <t>HP</t>
    <phoneticPr fontId="1"/>
  </si>
  <si>
    <t>攻</t>
    <rPh sb="0" eb="1">
      <t>オサム</t>
    </rPh>
    <phoneticPr fontId="1"/>
  </si>
  <si>
    <t>守</t>
    <rPh sb="0" eb="1">
      <t>カミ</t>
    </rPh>
    <phoneticPr fontId="1"/>
  </si>
  <si>
    <t>踊</t>
    <rPh sb="0" eb="1">
      <t>オド</t>
    </rPh>
    <phoneticPr fontId="1"/>
  </si>
  <si>
    <t>ネルソン</t>
    <phoneticPr fontId="1"/>
  </si>
  <si>
    <t>ブラディーポ</t>
  </si>
  <si>
    <t>ブラディーポ</t>
    <phoneticPr fontId="1"/>
  </si>
  <si>
    <t>ホラービースト</t>
    <phoneticPr fontId="1"/>
  </si>
  <si>
    <t>ポイズンゾンビ</t>
    <phoneticPr fontId="1"/>
  </si>
  <si>
    <t>ムドー1</t>
    <phoneticPr fontId="1"/>
  </si>
  <si>
    <t>ビッグ</t>
    <phoneticPr fontId="1"/>
  </si>
  <si>
    <t>スモッグ</t>
    <phoneticPr fontId="1"/>
  </si>
  <si>
    <t>ムドー2</t>
    <phoneticPr fontId="1"/>
  </si>
  <si>
    <t>きりさきピエロ</t>
    <phoneticPr fontId="1"/>
  </si>
  <si>
    <t>ムドー3</t>
    <phoneticPr fontId="1"/>
  </si>
  <si>
    <t>ヘルビースト</t>
    <phoneticPr fontId="1"/>
  </si>
  <si>
    <t>モンストラー</t>
    <phoneticPr fontId="1"/>
  </si>
  <si>
    <t>ガルシア</t>
    <phoneticPr fontId="1"/>
  </si>
  <si>
    <t>スコット</t>
    <phoneticPr fontId="1"/>
  </si>
  <si>
    <t>ホリデイ</t>
    <phoneticPr fontId="1"/>
  </si>
  <si>
    <t>ブラスト</t>
    <phoneticPr fontId="1"/>
  </si>
  <si>
    <t>ホラーウォーカー</t>
    <phoneticPr fontId="1"/>
  </si>
  <si>
    <t>かくとうパンサー</t>
    <phoneticPr fontId="1"/>
  </si>
  <si>
    <t>とうのへいたい</t>
    <phoneticPr fontId="1"/>
  </si>
  <si>
    <t>ジャミラス</t>
    <phoneticPr fontId="1"/>
  </si>
  <si>
    <t>しれんその1</t>
    <phoneticPr fontId="1"/>
  </si>
  <si>
    <t>しれんその2</t>
    <phoneticPr fontId="1"/>
  </si>
  <si>
    <t>しれんその3</t>
    <phoneticPr fontId="1"/>
  </si>
  <si>
    <t>いどまじん</t>
    <phoneticPr fontId="1"/>
  </si>
  <si>
    <t>ミラルゴ</t>
    <phoneticPr fontId="1"/>
  </si>
  <si>
    <t>ランプのまじん</t>
    <phoneticPr fontId="1"/>
  </si>
  <si>
    <t>グラコス</t>
    <phoneticPr fontId="1"/>
  </si>
  <si>
    <t>ずしおうまる</t>
    <phoneticPr fontId="1"/>
  </si>
  <si>
    <t>バーサクオーク</t>
    <phoneticPr fontId="1"/>
  </si>
  <si>
    <t>てっこうまじん</t>
    <phoneticPr fontId="1"/>
  </si>
  <si>
    <t>ボストロール</t>
    <phoneticPr fontId="1"/>
  </si>
  <si>
    <t>まおうのつかい</t>
    <phoneticPr fontId="1"/>
  </si>
  <si>
    <t>ヘルクラウド</t>
    <phoneticPr fontId="1"/>
  </si>
  <si>
    <t>キラーマジンガ</t>
    <phoneticPr fontId="1"/>
  </si>
  <si>
    <t>デュラン</t>
    <phoneticPr fontId="1"/>
  </si>
  <si>
    <t>ホロゴースト</t>
    <phoneticPr fontId="1"/>
  </si>
  <si>
    <t>ランプのまおう</t>
    <phoneticPr fontId="1"/>
  </si>
  <si>
    <t>デビルパピヨン</t>
    <phoneticPr fontId="1"/>
  </si>
  <si>
    <t>デビット</t>
    <phoneticPr fontId="1"/>
  </si>
  <si>
    <t>アクバー</t>
    <phoneticPr fontId="1"/>
  </si>
  <si>
    <t>ゾゾゲル</t>
    <phoneticPr fontId="1"/>
  </si>
  <si>
    <t>ドグマ</t>
    <phoneticPr fontId="1"/>
  </si>
  <si>
    <t>ガーディアン</t>
    <phoneticPr fontId="1"/>
  </si>
  <si>
    <t>ズイカク</t>
  </si>
  <si>
    <t>ズイカク</t>
    <phoneticPr fontId="1"/>
  </si>
  <si>
    <t>ショウカク</t>
    <phoneticPr fontId="1"/>
  </si>
  <si>
    <t>デスタムーア1</t>
  </si>
  <si>
    <t>デスタムーア1</t>
    <phoneticPr fontId="1"/>
  </si>
  <si>
    <t>デスタムーア2</t>
  </si>
  <si>
    <t>デスタムーア2</t>
    <phoneticPr fontId="1"/>
  </si>
  <si>
    <t>デスタムーア3</t>
  </si>
  <si>
    <t>デスタムーア3</t>
    <phoneticPr fontId="1"/>
  </si>
  <si>
    <t>G</t>
    <phoneticPr fontId="1"/>
  </si>
  <si>
    <t>MP</t>
    <phoneticPr fontId="1"/>
  </si>
  <si>
    <t>避</t>
    <rPh sb="0" eb="1">
      <t>ヒ</t>
    </rPh>
    <phoneticPr fontId="1"/>
  </si>
  <si>
    <t>乱</t>
    <rPh sb="0" eb="1">
      <t>ラン</t>
    </rPh>
    <phoneticPr fontId="1"/>
  </si>
  <si>
    <t>封</t>
    <rPh sb="0" eb="1">
      <t>フウ</t>
    </rPh>
    <phoneticPr fontId="1"/>
  </si>
  <si>
    <t>岩</t>
    <rPh sb="0" eb="1">
      <t>イワ</t>
    </rPh>
    <phoneticPr fontId="1"/>
  </si>
  <si>
    <t>デ</t>
    <phoneticPr fontId="1"/>
  </si>
  <si>
    <t>バ</t>
    <phoneticPr fontId="1"/>
  </si>
  <si>
    <t>ヒ</t>
    <phoneticPr fontId="1"/>
  </si>
  <si>
    <t>イ</t>
    <phoneticPr fontId="1"/>
  </si>
  <si>
    <t>メ</t>
    <phoneticPr fontId="1"/>
  </si>
  <si>
    <t>ギ</t>
    <phoneticPr fontId="1"/>
  </si>
  <si>
    <t>冷</t>
    <rPh sb="0" eb="1">
      <t>ヒヤ</t>
    </rPh>
    <phoneticPr fontId="1"/>
  </si>
  <si>
    <t>∞</t>
    <phoneticPr fontId="1"/>
  </si>
  <si>
    <t>なげきのきょじん</t>
    <phoneticPr fontId="1"/>
  </si>
  <si>
    <t>ろうごくへい</t>
    <phoneticPr fontId="1"/>
  </si>
  <si>
    <t>ベホマスライム</t>
    <phoneticPr fontId="1"/>
  </si>
  <si>
    <t>みぎて</t>
    <phoneticPr fontId="1"/>
  </si>
  <si>
    <t>ひだりて</t>
    <phoneticPr fontId="1"/>
  </si>
  <si>
    <t>ダークドレアム(A/C)</t>
    <phoneticPr fontId="1"/>
  </si>
  <si>
    <t>ダークドレアム(B)</t>
    <phoneticPr fontId="1"/>
  </si>
  <si>
    <t>ランドアーマー</t>
    <phoneticPr fontId="1"/>
  </si>
  <si>
    <t>デビルアーマー</t>
    <phoneticPr fontId="1"/>
  </si>
  <si>
    <t>ベビーゴイル</t>
    <phoneticPr fontId="1"/>
  </si>
  <si>
    <t>スライムナイト</t>
    <phoneticPr fontId="1"/>
  </si>
  <si>
    <t>ピーポ</t>
    <phoneticPr fontId="1"/>
  </si>
  <si>
    <t>どろにんぎょう</t>
    <phoneticPr fontId="1"/>
  </si>
  <si>
    <t>ヘルホーネット</t>
    <phoneticPr fontId="1"/>
  </si>
  <si>
    <t>ハエまどう</t>
    <phoneticPr fontId="1"/>
  </si>
  <si>
    <t>スライムべス</t>
    <phoneticPr fontId="1"/>
  </si>
  <si>
    <t>ビッグフェイス</t>
    <phoneticPr fontId="1"/>
  </si>
  <si>
    <t>テールイーター</t>
    <phoneticPr fontId="1"/>
  </si>
  <si>
    <t>もりじじい</t>
    <phoneticPr fontId="1"/>
  </si>
  <si>
    <t>ガンコどり</t>
    <phoneticPr fontId="1"/>
  </si>
  <si>
    <t>バブルスライム</t>
    <phoneticPr fontId="1"/>
  </si>
  <si>
    <t>アロードッグ</t>
    <phoneticPr fontId="1"/>
  </si>
  <si>
    <t>ぶちスライム</t>
    <phoneticPr fontId="1"/>
  </si>
  <si>
    <t>オニオーン</t>
  </si>
  <si>
    <t>オニオーン</t>
    <phoneticPr fontId="1"/>
  </si>
  <si>
    <t>シールドこぞう</t>
    <phoneticPr fontId="1"/>
  </si>
  <si>
    <t>どくろあらい</t>
    <phoneticPr fontId="1"/>
  </si>
  <si>
    <t>ギズモ</t>
    <phoneticPr fontId="1"/>
  </si>
  <si>
    <t>：雑魚敵：</t>
    <rPh sb="1" eb="3">
      <t>ザコ</t>
    </rPh>
    <rPh sb="3" eb="4">
      <t>テキ</t>
    </rPh>
    <phoneticPr fontId="1"/>
  </si>
  <si>
    <t>キャラ</t>
    <phoneticPr fontId="1"/>
  </si>
  <si>
    <t>装（守）</t>
    <rPh sb="0" eb="1">
      <t>ソウ</t>
    </rPh>
    <rPh sb="2" eb="3">
      <t>マモル</t>
    </rPh>
    <phoneticPr fontId="1"/>
  </si>
  <si>
    <t>装（攻）</t>
    <rPh sb="0" eb="1">
      <t>ソウ</t>
    </rPh>
    <rPh sb="2" eb="3">
      <t>オサム</t>
    </rPh>
    <phoneticPr fontId="1"/>
  </si>
  <si>
    <t>装（早）</t>
    <rPh sb="0" eb="1">
      <t>ソウ</t>
    </rPh>
    <rPh sb="2" eb="3">
      <t>ハヤ</t>
    </rPh>
    <phoneticPr fontId="1"/>
  </si>
  <si>
    <t>キャラ</t>
    <phoneticPr fontId="1"/>
  </si>
  <si>
    <t>ハッサン</t>
    <phoneticPr fontId="1"/>
  </si>
  <si>
    <t>ミレーユ</t>
    <phoneticPr fontId="1"/>
  </si>
  <si>
    <t>アモス</t>
    <phoneticPr fontId="1"/>
  </si>
  <si>
    <t>テリー</t>
    <phoneticPr fontId="1"/>
  </si>
  <si>
    <t>ドランゴ</t>
    <phoneticPr fontId="1"/>
  </si>
  <si>
    <t>メ</t>
    <phoneticPr fontId="1"/>
  </si>
  <si>
    <t>ギ</t>
    <phoneticPr fontId="1"/>
  </si>
  <si>
    <t>イ</t>
    <phoneticPr fontId="1"/>
  </si>
  <si>
    <t>ヒ</t>
    <phoneticPr fontId="1"/>
  </si>
  <si>
    <t>バ</t>
    <phoneticPr fontId="1"/>
  </si>
  <si>
    <t>デ</t>
    <phoneticPr fontId="1"/>
  </si>
  <si>
    <t>眠</t>
    <rPh sb="0" eb="1">
      <t>ネム</t>
    </rPh>
    <phoneticPr fontId="1"/>
  </si>
  <si>
    <t>戦士</t>
    <rPh sb="0" eb="2">
      <t>センシ</t>
    </rPh>
    <phoneticPr fontId="1"/>
  </si>
  <si>
    <t>武闘家</t>
    <rPh sb="0" eb="2">
      <t>ブトウ</t>
    </rPh>
    <rPh sb="2" eb="3">
      <t>イエ</t>
    </rPh>
    <phoneticPr fontId="1"/>
  </si>
  <si>
    <t>魔法使い</t>
    <rPh sb="0" eb="3">
      <t>マホウツカ</t>
    </rPh>
    <phoneticPr fontId="1"/>
  </si>
  <si>
    <t>僧侶</t>
    <rPh sb="0" eb="2">
      <t>ソウリョ</t>
    </rPh>
    <phoneticPr fontId="1"/>
  </si>
  <si>
    <t>踊り子</t>
    <rPh sb="0" eb="1">
      <t>オド</t>
    </rPh>
    <rPh sb="2" eb="3">
      <t>コ</t>
    </rPh>
    <phoneticPr fontId="1"/>
  </si>
  <si>
    <t>盗賊</t>
    <rPh sb="0" eb="2">
      <t>トウゾク</t>
    </rPh>
    <phoneticPr fontId="1"/>
  </si>
  <si>
    <t>魔物使い</t>
    <rPh sb="0" eb="2">
      <t>マモノ</t>
    </rPh>
    <rPh sb="2" eb="3">
      <t>ツカ</t>
    </rPh>
    <phoneticPr fontId="1"/>
  </si>
  <si>
    <t>遊び人</t>
    <rPh sb="0" eb="1">
      <t>アソ</t>
    </rPh>
    <rPh sb="2" eb="3">
      <t>ニン</t>
    </rPh>
    <phoneticPr fontId="1"/>
  </si>
  <si>
    <t>商人</t>
    <rPh sb="0" eb="2">
      <t>ショウニン</t>
    </rPh>
    <phoneticPr fontId="1"/>
  </si>
  <si>
    <t>バトルマスター</t>
    <phoneticPr fontId="1"/>
  </si>
  <si>
    <t>魔法戦士</t>
    <rPh sb="0" eb="2">
      <t>マホウ</t>
    </rPh>
    <rPh sb="2" eb="4">
      <t>センシ</t>
    </rPh>
    <phoneticPr fontId="1"/>
  </si>
  <si>
    <t>パラディン</t>
    <phoneticPr fontId="1"/>
  </si>
  <si>
    <t>賢者</t>
    <rPh sb="0" eb="2">
      <t>ケンジャ</t>
    </rPh>
    <phoneticPr fontId="1"/>
  </si>
  <si>
    <t>レンジャー</t>
    <phoneticPr fontId="1"/>
  </si>
  <si>
    <t>スーパースター</t>
    <phoneticPr fontId="1"/>
  </si>
  <si>
    <t>勇者</t>
    <rPh sb="0" eb="2">
      <t>ユウシャ</t>
    </rPh>
    <phoneticPr fontId="1"/>
  </si>
  <si>
    <t>ドラゴン</t>
    <phoneticPr fontId="1"/>
  </si>
  <si>
    <t>はぐれメタル</t>
    <phoneticPr fontId="1"/>
  </si>
  <si>
    <t>HP</t>
    <phoneticPr fontId="1"/>
  </si>
  <si>
    <t>MP</t>
    <phoneticPr fontId="1"/>
  </si>
  <si>
    <t>倍率</t>
    <rPh sb="0" eb="2">
      <t>バイリツ</t>
    </rPh>
    <phoneticPr fontId="1"/>
  </si>
  <si>
    <t>計算式</t>
    <rPh sb="0" eb="2">
      <t>ケイサン</t>
    </rPh>
    <rPh sb="2" eb="3">
      <t>シキ</t>
    </rPh>
    <phoneticPr fontId="1"/>
  </si>
  <si>
    <t>職業リスト/能力補正</t>
    <rPh sb="0" eb="2">
      <t>ショクギョウ</t>
    </rPh>
    <rPh sb="6" eb="8">
      <t>ノウリョク</t>
    </rPh>
    <rPh sb="8" eb="10">
      <t>ホセイ</t>
    </rPh>
    <phoneticPr fontId="1"/>
  </si>
  <si>
    <t>ボスデータ</t>
    <phoneticPr fontId="1"/>
  </si>
  <si>
    <t>ねずこうもり</t>
  </si>
  <si>
    <t>ねずこうもり</t>
    <phoneticPr fontId="1"/>
  </si>
  <si>
    <t>きりかぶこぞう</t>
    <phoneticPr fontId="1"/>
  </si>
  <si>
    <t>テンツク</t>
  </si>
  <si>
    <t>テンツク</t>
    <phoneticPr fontId="1"/>
  </si>
  <si>
    <t>とうのへいたい</t>
    <phoneticPr fontId="1"/>
  </si>
  <si>
    <t>フィールド</t>
    <phoneticPr fontId="1"/>
  </si>
  <si>
    <t>とうのへいたい</t>
    <phoneticPr fontId="1"/>
  </si>
  <si>
    <t>ブラディーポ</t>
    <phoneticPr fontId="1"/>
  </si>
  <si>
    <t>No</t>
    <phoneticPr fontId="1"/>
  </si>
  <si>
    <t>ポイズンゾンビ</t>
    <phoneticPr fontId="1"/>
  </si>
  <si>
    <t>北の洞窟</t>
    <rPh sb="0" eb="1">
      <t>キタ</t>
    </rPh>
    <rPh sb="2" eb="4">
      <t>ドウクツ</t>
    </rPh>
    <phoneticPr fontId="1"/>
  </si>
  <si>
    <t>ホラービースト</t>
    <phoneticPr fontId="1"/>
  </si>
  <si>
    <t>ムドー1</t>
    <phoneticPr fontId="1"/>
  </si>
  <si>
    <t>ヘルビースト</t>
    <phoneticPr fontId="1"/>
  </si>
  <si>
    <t>ビッグ＆スモッグ</t>
    <phoneticPr fontId="1"/>
  </si>
  <si>
    <t>ムドー2</t>
    <phoneticPr fontId="1"/>
  </si>
  <si>
    <t>ムドー3</t>
    <phoneticPr fontId="1"/>
  </si>
  <si>
    <t>モンストラー</t>
    <phoneticPr fontId="1"/>
  </si>
  <si>
    <t>熟練度稼ぎ1</t>
    <rPh sb="0" eb="3">
      <t>ジュクレンド</t>
    </rPh>
    <rPh sb="3" eb="4">
      <t>カセ</t>
    </rPh>
    <phoneticPr fontId="1"/>
  </si>
  <si>
    <t>熟練度稼ぎ2</t>
    <rPh sb="0" eb="3">
      <t>ジュクレンド</t>
    </rPh>
    <rPh sb="3" eb="4">
      <t>カセ</t>
    </rPh>
    <phoneticPr fontId="1"/>
  </si>
  <si>
    <t>ガルシア</t>
    <phoneticPr fontId="1"/>
  </si>
  <si>
    <t>スコット＆ホリデイ</t>
    <phoneticPr fontId="1"/>
  </si>
  <si>
    <t>ブラスト</t>
    <phoneticPr fontId="1"/>
  </si>
  <si>
    <t>旅の洞窟</t>
    <rPh sb="0" eb="1">
      <t>タビ</t>
    </rPh>
    <rPh sb="2" eb="4">
      <t>ドウクツ</t>
    </rPh>
    <phoneticPr fontId="1"/>
  </si>
  <si>
    <t>ジャミラス</t>
    <phoneticPr fontId="1"/>
  </si>
  <si>
    <t>いどまじん</t>
    <phoneticPr fontId="1"/>
  </si>
  <si>
    <t>しれんその1</t>
    <phoneticPr fontId="1"/>
  </si>
  <si>
    <t>しれんその2</t>
    <phoneticPr fontId="1"/>
  </si>
  <si>
    <t>しれんその3</t>
    <phoneticPr fontId="1"/>
  </si>
  <si>
    <t>ミラルゴ</t>
    <phoneticPr fontId="1"/>
  </si>
  <si>
    <t>グラコス</t>
    <phoneticPr fontId="1"/>
  </si>
  <si>
    <t>ライフコッド</t>
    <phoneticPr fontId="1"/>
  </si>
  <si>
    <t>まおうのつかい</t>
    <phoneticPr fontId="1"/>
  </si>
  <si>
    <t>ヘルクラウド</t>
    <phoneticPr fontId="1"/>
  </si>
  <si>
    <t>キラーマジンガ</t>
    <phoneticPr fontId="1"/>
  </si>
  <si>
    <t>テリー</t>
    <phoneticPr fontId="1"/>
  </si>
  <si>
    <t>デュラン</t>
    <phoneticPr fontId="1"/>
  </si>
  <si>
    <t>アクバー</t>
    <phoneticPr fontId="1"/>
  </si>
  <si>
    <t>ズイカク＆ショウカク</t>
    <phoneticPr fontId="1"/>
  </si>
  <si>
    <t>デスタムーア1</t>
    <phoneticPr fontId="1"/>
  </si>
  <si>
    <t>デスタムーア2</t>
    <phoneticPr fontId="1"/>
  </si>
  <si>
    <t>戦闘IDリスト</t>
    <rPh sb="0" eb="2">
      <t>セントウ</t>
    </rPh>
    <phoneticPr fontId="1"/>
  </si>
  <si>
    <t>行数</t>
    <rPh sb="0" eb="2">
      <t>ギョウスウ</t>
    </rPh>
    <phoneticPr fontId="1"/>
  </si>
  <si>
    <t>No</t>
    <phoneticPr fontId="1"/>
  </si>
  <si>
    <t>ボス名</t>
    <rPh sb="2" eb="3">
      <t>メイ</t>
    </rPh>
    <phoneticPr fontId="1"/>
  </si>
  <si>
    <t>HP</t>
    <phoneticPr fontId="1"/>
  </si>
  <si>
    <t>Ex</t>
    <phoneticPr fontId="1"/>
  </si>
  <si>
    <t>キャラ名</t>
    <rPh sb="3" eb="4">
      <t>メイ</t>
    </rPh>
    <phoneticPr fontId="1"/>
  </si>
  <si>
    <t>HP</t>
    <phoneticPr fontId="1"/>
  </si>
  <si>
    <t>MP</t>
    <phoneticPr fontId="1"/>
  </si>
  <si>
    <t>攻</t>
    <rPh sb="0" eb="1">
      <t>オサム</t>
    </rPh>
    <phoneticPr fontId="1"/>
  </si>
  <si>
    <t>守</t>
    <rPh sb="0" eb="1">
      <t>カミ</t>
    </rPh>
    <phoneticPr fontId="1"/>
  </si>
  <si>
    <t>早</t>
    <rPh sb="0" eb="1">
      <t>ハヤ</t>
    </rPh>
    <phoneticPr fontId="1"/>
  </si>
  <si>
    <t>炎</t>
    <rPh sb="0" eb="1">
      <t>ホノオ</t>
    </rPh>
    <phoneticPr fontId="1"/>
  </si>
  <si>
    <t>雪</t>
    <rPh sb="0" eb="1">
      <t>ユキ</t>
    </rPh>
    <phoneticPr fontId="1"/>
  </si>
  <si>
    <t>雪</t>
    <rPh sb="0" eb="1">
      <t>ユキ</t>
    </rPh>
    <phoneticPr fontId="1"/>
  </si>
  <si>
    <t>メ</t>
    <phoneticPr fontId="1"/>
  </si>
  <si>
    <t>ギ</t>
    <phoneticPr fontId="1"/>
  </si>
  <si>
    <t>イ</t>
    <phoneticPr fontId="1"/>
  </si>
  <si>
    <t>ヒ</t>
    <phoneticPr fontId="1"/>
  </si>
  <si>
    <t>バ</t>
    <phoneticPr fontId="1"/>
  </si>
  <si>
    <t>デ</t>
    <phoneticPr fontId="1"/>
  </si>
  <si>
    <t>名前</t>
    <rPh sb="0" eb="2">
      <t>ナマエ</t>
    </rPh>
    <phoneticPr fontId="1"/>
  </si>
  <si>
    <t>Lv</t>
    <phoneticPr fontId="1"/>
  </si>
  <si>
    <t>なし</t>
  </si>
  <si>
    <t>なし</t>
    <phoneticPr fontId="1"/>
  </si>
  <si>
    <t>あつでのよろい</t>
    <phoneticPr fontId="1"/>
  </si>
  <si>
    <t>特技名</t>
    <rPh sb="0" eb="2">
      <t>トクギ</t>
    </rPh>
    <rPh sb="2" eb="3">
      <t>メイ</t>
    </rPh>
    <phoneticPr fontId="1"/>
  </si>
  <si>
    <t>隊列</t>
    <rPh sb="0" eb="2">
      <t>タイレツ</t>
    </rPh>
    <phoneticPr fontId="1"/>
  </si>
  <si>
    <t>気合</t>
    <rPh sb="0" eb="2">
      <t>キアイ</t>
    </rPh>
    <phoneticPr fontId="1"/>
  </si>
  <si>
    <t>あり</t>
    <phoneticPr fontId="1"/>
  </si>
  <si>
    <t>なし</t>
    <phoneticPr fontId="1"/>
  </si>
  <si>
    <t>有無</t>
    <rPh sb="0" eb="2">
      <t>ウム</t>
    </rPh>
    <phoneticPr fontId="1"/>
  </si>
  <si>
    <t>バリア</t>
    <phoneticPr fontId="1"/>
  </si>
  <si>
    <t>防御</t>
    <rPh sb="0" eb="2">
      <t>ボウギョ</t>
    </rPh>
    <phoneticPr fontId="1"/>
  </si>
  <si>
    <t>倍</t>
    <rPh sb="0" eb="1">
      <t>バイ</t>
    </rPh>
    <phoneticPr fontId="1"/>
  </si>
  <si>
    <t>スカラ/ルカニ</t>
    <phoneticPr fontId="1"/>
  </si>
  <si>
    <t>先行率</t>
    <rPh sb="0" eb="2">
      <t>センコウ</t>
    </rPh>
    <rPh sb="2" eb="3">
      <t>リツ</t>
    </rPh>
    <phoneticPr fontId="1"/>
  </si>
  <si>
    <t>ダメージ計算（敵→味方）</t>
    <rPh sb="4" eb="6">
      <t>ケイサン</t>
    </rPh>
    <rPh sb="7" eb="8">
      <t>テキ</t>
    </rPh>
    <rPh sb="9" eb="11">
      <t>ミカタ</t>
    </rPh>
    <phoneticPr fontId="1"/>
  </si>
  <si>
    <t>強打撃</t>
    <rPh sb="0" eb="1">
      <t>ツヨ</t>
    </rPh>
    <rPh sb="1" eb="3">
      <t>ダゲキ</t>
    </rPh>
    <phoneticPr fontId="1"/>
  </si>
  <si>
    <t>火炎斬り</t>
    <rPh sb="0" eb="3">
      <t>カエンギ</t>
    </rPh>
    <phoneticPr fontId="1"/>
  </si>
  <si>
    <t>真空斬り</t>
    <rPh sb="0" eb="2">
      <t>シンクウ</t>
    </rPh>
    <rPh sb="2" eb="3">
      <t>ギ</t>
    </rPh>
    <phoneticPr fontId="1"/>
  </si>
  <si>
    <t>早業</t>
    <rPh sb="0" eb="2">
      <t>ハヤワザ</t>
    </rPh>
    <phoneticPr fontId="1"/>
  </si>
  <si>
    <t>押しつぶす</t>
    <rPh sb="0" eb="1">
      <t>オ</t>
    </rPh>
    <phoneticPr fontId="1"/>
  </si>
  <si>
    <t>薙ぎ払い</t>
    <rPh sb="0" eb="1">
      <t>ナ</t>
    </rPh>
    <rPh sb="2" eb="3">
      <t>ハラ</t>
    </rPh>
    <phoneticPr fontId="1"/>
  </si>
  <si>
    <t>ムーンサルト</t>
    <phoneticPr fontId="1"/>
  </si>
  <si>
    <t>火の息</t>
    <rPh sb="0" eb="1">
      <t>ヒ</t>
    </rPh>
    <rPh sb="2" eb="3">
      <t>イキ</t>
    </rPh>
    <phoneticPr fontId="1"/>
  </si>
  <si>
    <t>激しい炎</t>
    <rPh sb="0" eb="1">
      <t>ハゲ</t>
    </rPh>
    <rPh sb="3" eb="4">
      <t>ホノオ</t>
    </rPh>
    <phoneticPr fontId="1"/>
  </si>
  <si>
    <t>灼熱</t>
    <rPh sb="0" eb="2">
      <t>シャクネツ</t>
    </rPh>
    <phoneticPr fontId="1"/>
  </si>
  <si>
    <t>冷たい息</t>
    <rPh sb="0" eb="1">
      <t>ツメ</t>
    </rPh>
    <rPh sb="3" eb="4">
      <t>イキ</t>
    </rPh>
    <phoneticPr fontId="1"/>
  </si>
  <si>
    <t>氷の息</t>
    <rPh sb="0" eb="1">
      <t>コオリ</t>
    </rPh>
    <rPh sb="2" eb="3">
      <t>イキ</t>
    </rPh>
    <phoneticPr fontId="1"/>
  </si>
  <si>
    <t>凍える吹雪</t>
    <rPh sb="0" eb="1">
      <t>コゴ</t>
    </rPh>
    <rPh sb="3" eb="5">
      <t>フブキ</t>
    </rPh>
    <phoneticPr fontId="1"/>
  </si>
  <si>
    <t>輝く息</t>
    <rPh sb="0" eb="1">
      <t>カガヤ</t>
    </rPh>
    <rPh sb="2" eb="3">
      <t>イキ</t>
    </rPh>
    <phoneticPr fontId="1"/>
  </si>
  <si>
    <t>稲妻</t>
    <rPh sb="0" eb="2">
      <t>イナズマ</t>
    </rPh>
    <phoneticPr fontId="1"/>
  </si>
  <si>
    <t>稲妻（強）</t>
    <rPh sb="0" eb="2">
      <t>イナズマ</t>
    </rPh>
    <rPh sb="3" eb="4">
      <t>ツヨ</t>
    </rPh>
    <phoneticPr fontId="1"/>
  </si>
  <si>
    <t>火柱</t>
    <rPh sb="0" eb="2">
      <t>ヒバシラ</t>
    </rPh>
    <phoneticPr fontId="1"/>
  </si>
  <si>
    <t>津波</t>
    <rPh sb="0" eb="2">
      <t>ツナミ</t>
    </rPh>
    <phoneticPr fontId="1"/>
  </si>
  <si>
    <t>地響き</t>
    <rPh sb="0" eb="2">
      <t>ジヒビ</t>
    </rPh>
    <phoneticPr fontId="1"/>
  </si>
  <si>
    <t>石つぶて</t>
    <rPh sb="0" eb="1">
      <t>イシ</t>
    </rPh>
    <phoneticPr fontId="1"/>
  </si>
  <si>
    <t>岩石落とし</t>
    <rPh sb="0" eb="2">
      <t>ガンセキ</t>
    </rPh>
    <rPh sb="2" eb="3">
      <t>オ</t>
    </rPh>
    <phoneticPr fontId="1"/>
  </si>
  <si>
    <t>グランドクロス</t>
    <phoneticPr fontId="1"/>
  </si>
  <si>
    <t>捨て身</t>
    <rPh sb="0" eb="1">
      <t>ス</t>
    </rPh>
    <rPh sb="2" eb="3">
      <t>ミ</t>
    </rPh>
    <phoneticPr fontId="1"/>
  </si>
  <si>
    <t>隼斬り</t>
    <rPh sb="0" eb="1">
      <t>ハヤブサ</t>
    </rPh>
    <rPh sb="1" eb="2">
      <t>ギ</t>
    </rPh>
    <phoneticPr fontId="1"/>
  </si>
  <si>
    <t>疾風突き</t>
    <rPh sb="0" eb="2">
      <t>シップウ</t>
    </rPh>
    <rPh sb="2" eb="3">
      <t>ツ</t>
    </rPh>
    <phoneticPr fontId="1"/>
  </si>
  <si>
    <t>回し蹴り</t>
    <rPh sb="0" eb="1">
      <t>マワ</t>
    </rPh>
    <rPh sb="2" eb="3">
      <t>ゲ</t>
    </rPh>
    <phoneticPr fontId="1"/>
  </si>
  <si>
    <t>燃え盛る火炎</t>
    <rPh sb="0" eb="1">
      <t>モ</t>
    </rPh>
    <rPh sb="2" eb="3">
      <t>サカ</t>
    </rPh>
    <rPh sb="4" eb="6">
      <t>カエン</t>
    </rPh>
    <phoneticPr fontId="1"/>
  </si>
  <si>
    <t>凍てつく冷気</t>
    <rPh sb="0" eb="1">
      <t>イ</t>
    </rPh>
    <rPh sb="4" eb="6">
      <t>レイキ</t>
    </rPh>
    <phoneticPr fontId="1"/>
  </si>
  <si>
    <t>念じボール</t>
    <rPh sb="0" eb="1">
      <t>ネン</t>
    </rPh>
    <phoneticPr fontId="1"/>
  </si>
  <si>
    <t>とげ当たり</t>
    <rPh sb="2" eb="3">
      <t>ア</t>
    </rPh>
    <phoneticPr fontId="1"/>
  </si>
  <si>
    <t>叩きつける</t>
    <rPh sb="0" eb="1">
      <t>タタ</t>
    </rPh>
    <phoneticPr fontId="1"/>
  </si>
  <si>
    <t>悍ましい雄叫び</t>
    <rPh sb="0" eb="1">
      <t>オゾ</t>
    </rPh>
    <rPh sb="4" eb="6">
      <t>オタケ</t>
    </rPh>
    <phoneticPr fontId="1"/>
  </si>
  <si>
    <t>マダンテ</t>
    <phoneticPr fontId="1"/>
  </si>
  <si>
    <t>メラゾーマ</t>
    <phoneticPr fontId="1"/>
  </si>
  <si>
    <t>ベギラマ</t>
    <phoneticPr fontId="1"/>
  </si>
  <si>
    <t>ベギラゴン</t>
    <phoneticPr fontId="1"/>
  </si>
  <si>
    <t>ヒャダルコ</t>
    <phoneticPr fontId="1"/>
  </si>
  <si>
    <t>マヒャド</t>
    <phoneticPr fontId="1"/>
  </si>
  <si>
    <t>イオラ</t>
    <phoneticPr fontId="1"/>
  </si>
  <si>
    <t>イオナズン</t>
    <phoneticPr fontId="1"/>
  </si>
  <si>
    <t>バギマ</t>
    <phoneticPr fontId="1"/>
  </si>
  <si>
    <t>バギクロス</t>
    <phoneticPr fontId="1"/>
  </si>
  <si>
    <t>ギガデイン</t>
    <phoneticPr fontId="1"/>
  </si>
  <si>
    <t>いかずちの杖</t>
    <rPh sb="5" eb="6">
      <t>ツエ</t>
    </rPh>
    <phoneticPr fontId="1"/>
  </si>
  <si>
    <t>炎の爪</t>
    <rPh sb="0" eb="1">
      <t>ホノオ</t>
    </rPh>
    <rPh sb="2" eb="3">
      <t>ツメ</t>
    </rPh>
    <phoneticPr fontId="1"/>
  </si>
  <si>
    <t>雷鳴の剣</t>
    <rPh sb="0" eb="2">
      <t>ライメイ</t>
    </rPh>
    <rPh sb="3" eb="4">
      <t>ツルギ</t>
    </rPh>
    <phoneticPr fontId="1"/>
  </si>
  <si>
    <t>痛恨（嘆きの巨人）</t>
    <rPh sb="0" eb="2">
      <t>ツウコン</t>
    </rPh>
    <rPh sb="3" eb="4">
      <t>ナゲ</t>
    </rPh>
    <rPh sb="6" eb="8">
      <t>キョジン</t>
    </rPh>
    <phoneticPr fontId="1"/>
  </si>
  <si>
    <t>痛恨A</t>
    <rPh sb="0" eb="2">
      <t>ツウコン</t>
    </rPh>
    <phoneticPr fontId="1"/>
  </si>
  <si>
    <t>かまいたち（デュラン）</t>
    <phoneticPr fontId="1"/>
  </si>
  <si>
    <t>真空波（格闘パンサー）</t>
    <rPh sb="0" eb="2">
      <t>シンクウ</t>
    </rPh>
    <rPh sb="2" eb="3">
      <t>ナミ</t>
    </rPh>
    <rPh sb="4" eb="6">
      <t>カクトウ</t>
    </rPh>
    <phoneticPr fontId="1"/>
  </si>
  <si>
    <t>真空波（ブラスト）</t>
    <rPh sb="0" eb="2">
      <t>シンクウ</t>
    </rPh>
    <rPh sb="2" eb="3">
      <t>ナミ</t>
    </rPh>
    <phoneticPr fontId="1"/>
  </si>
  <si>
    <t>真空波（ヘルクラウド）</t>
    <rPh sb="0" eb="2">
      <t>シンクウ</t>
    </rPh>
    <rPh sb="2" eb="3">
      <t>ナミ</t>
    </rPh>
    <phoneticPr fontId="1"/>
  </si>
  <si>
    <t>かまいたち（ドレアム）</t>
    <phoneticPr fontId="1"/>
  </si>
  <si>
    <t>かまいたち(試練2）</t>
    <rPh sb="6" eb="8">
      <t>シレン</t>
    </rPh>
    <phoneticPr fontId="1"/>
  </si>
  <si>
    <t>物理</t>
    <rPh sb="0" eb="2">
      <t>ブツリ</t>
    </rPh>
    <phoneticPr fontId="1"/>
  </si>
  <si>
    <t>打撃（全体）</t>
    <rPh sb="0" eb="2">
      <t>ダゲキ</t>
    </rPh>
    <rPh sb="3" eb="5">
      <t>ゼンタイ</t>
    </rPh>
    <phoneticPr fontId="1"/>
  </si>
  <si>
    <t>軍</t>
    <rPh sb="0" eb="1">
      <t>グン</t>
    </rPh>
    <phoneticPr fontId="1"/>
  </si>
  <si>
    <t>昇</t>
    <rPh sb="0" eb="1">
      <t>ノボル</t>
    </rPh>
    <phoneticPr fontId="1"/>
  </si>
  <si>
    <t>退</t>
    <rPh sb="0" eb="1">
      <t>タイ</t>
    </rPh>
    <phoneticPr fontId="1"/>
  </si>
  <si>
    <t>毒</t>
    <rPh sb="0" eb="1">
      <t>ドク</t>
    </rPh>
    <phoneticPr fontId="1"/>
  </si>
  <si>
    <t>守</t>
    <rPh sb="0" eb="1">
      <t>カミ</t>
    </rPh>
    <phoneticPr fontId="1"/>
  </si>
  <si>
    <t>幻</t>
    <rPh sb="0" eb="1">
      <t>マボロシ</t>
    </rPh>
    <phoneticPr fontId="1"/>
  </si>
  <si>
    <t>踊</t>
    <rPh sb="0" eb="1">
      <t>オド</t>
    </rPh>
    <phoneticPr fontId="1"/>
  </si>
  <si>
    <t>休</t>
    <rPh sb="0" eb="1">
      <t>ヤス</t>
    </rPh>
    <phoneticPr fontId="1"/>
  </si>
  <si>
    <t>痺</t>
    <rPh sb="0" eb="1">
      <t>シビレ</t>
    </rPh>
    <phoneticPr fontId="1"/>
  </si>
  <si>
    <t>吸</t>
    <rPh sb="0" eb="1">
      <t>キュウ</t>
    </rPh>
    <phoneticPr fontId="1"/>
  </si>
  <si>
    <t>ファーラット</t>
    <phoneticPr fontId="1"/>
  </si>
  <si>
    <t>リップス</t>
    <phoneticPr fontId="1"/>
  </si>
  <si>
    <t>スライム</t>
    <phoneticPr fontId="1"/>
  </si>
  <si>
    <t>泥人形</t>
    <rPh sb="0" eb="1">
      <t>ドロ</t>
    </rPh>
    <rPh sb="1" eb="3">
      <t>ニンギョウ</t>
    </rPh>
    <phoneticPr fontId="1"/>
  </si>
  <si>
    <t>腐った死体</t>
    <rPh sb="0" eb="1">
      <t>クサ</t>
    </rPh>
    <rPh sb="3" eb="5">
      <t>シタイ</t>
    </rPh>
    <phoneticPr fontId="1"/>
  </si>
  <si>
    <t>ホイミスライム</t>
    <phoneticPr fontId="1"/>
  </si>
  <si>
    <t>レッサーデーモン</t>
    <phoneticPr fontId="1"/>
  </si>
  <si>
    <t>スーパーテンツク</t>
    <phoneticPr fontId="1"/>
  </si>
  <si>
    <t>ウインドマージ</t>
    <phoneticPr fontId="1"/>
  </si>
  <si>
    <t>爆弾岩</t>
    <rPh sb="0" eb="2">
      <t>バクダン</t>
    </rPh>
    <rPh sb="2" eb="3">
      <t>イワ</t>
    </rPh>
    <phoneticPr fontId="1"/>
  </si>
  <si>
    <t>スライムナイト</t>
    <phoneticPr fontId="1"/>
  </si>
  <si>
    <t>キメイラ</t>
    <phoneticPr fontId="1"/>
  </si>
  <si>
    <t>ダークホーン</t>
    <phoneticPr fontId="1"/>
  </si>
  <si>
    <t>キングスライム</t>
    <phoneticPr fontId="1"/>
  </si>
  <si>
    <t>はぐれメタル</t>
    <phoneticPr fontId="1"/>
  </si>
  <si>
    <t>ボストロール</t>
    <phoneticPr fontId="1"/>
  </si>
  <si>
    <t>キラーマシン2</t>
    <phoneticPr fontId="1"/>
  </si>
  <si>
    <t>ランプのまおう</t>
    <phoneticPr fontId="1"/>
  </si>
  <si>
    <t>ルーキー</t>
    <phoneticPr fontId="1"/>
  </si>
  <si>
    <t>避</t>
    <rPh sb="0" eb="1">
      <t>ヨ</t>
    </rPh>
    <phoneticPr fontId="1"/>
  </si>
  <si>
    <t>キャラデータ</t>
    <phoneticPr fontId="1"/>
  </si>
  <si>
    <t>このページは直接いじらないでください．動作の保障はしません．</t>
    <rPh sb="6" eb="8">
      <t>チョクセツ</t>
    </rPh>
    <rPh sb="19" eb="21">
      <t>ドウサ</t>
    </rPh>
    <rPh sb="22" eb="24">
      <t>ホショウ</t>
    </rPh>
    <phoneticPr fontId="1"/>
  </si>
  <si>
    <t>スカラ</t>
    <phoneticPr fontId="1"/>
  </si>
  <si>
    <t>スクルト</t>
    <phoneticPr fontId="1"/>
  </si>
  <si>
    <t>番号</t>
    <rPh sb="0" eb="2">
      <t>バンゴウ</t>
    </rPh>
    <phoneticPr fontId="1"/>
  </si>
  <si>
    <t>余ダメージ補助（縦軸：攻撃側/横軸：防御側）　【打撃によるダメージ，スカラ/スクルト込】</t>
    <rPh sb="0" eb="1">
      <t>ヨ</t>
    </rPh>
    <rPh sb="5" eb="7">
      <t>ホジョ</t>
    </rPh>
    <rPh sb="8" eb="10">
      <t>タテジク</t>
    </rPh>
    <rPh sb="11" eb="13">
      <t>コウゲキ</t>
    </rPh>
    <rPh sb="13" eb="14">
      <t>ガワ</t>
    </rPh>
    <rPh sb="15" eb="17">
      <t>ヨコジク</t>
    </rPh>
    <rPh sb="18" eb="20">
      <t>ボウギョ</t>
    </rPh>
    <rPh sb="20" eb="21">
      <t>ガワ</t>
    </rPh>
    <rPh sb="24" eb="26">
      <t>ダゲキ</t>
    </rPh>
    <rPh sb="42" eb="43">
      <t>コミ</t>
    </rPh>
    <phoneticPr fontId="1"/>
  </si>
  <si>
    <t>被ダメージ補助（縦軸：攻撃側/横軸：防御側）　【打撃によるダメージ，スカラ/スクルト込】</t>
    <rPh sb="0" eb="1">
      <t>ヒ</t>
    </rPh>
    <rPh sb="5" eb="7">
      <t>ホジョ</t>
    </rPh>
    <phoneticPr fontId="1"/>
  </si>
  <si>
    <t>キャラ名</t>
    <rPh sb="3" eb="4">
      <t>メイ</t>
    </rPh>
    <phoneticPr fontId="1"/>
  </si>
  <si>
    <t>会心</t>
    <rPh sb="0" eb="2">
      <t>カイシン</t>
    </rPh>
    <phoneticPr fontId="1"/>
  </si>
  <si>
    <t>大防御</t>
    <rPh sb="0" eb="1">
      <t>ダイ</t>
    </rPh>
    <rPh sb="1" eb="3">
      <t>ボウギョ</t>
    </rPh>
    <phoneticPr fontId="1"/>
  </si>
  <si>
    <t>なし</t>
    <phoneticPr fontId="1"/>
  </si>
  <si>
    <t>あり</t>
    <phoneticPr fontId="1"/>
  </si>
  <si>
    <t>判定</t>
    <rPh sb="0" eb="2">
      <t>ハンテイ</t>
    </rPh>
    <phoneticPr fontId="1"/>
  </si>
  <si>
    <t>無視</t>
    <rPh sb="0" eb="2">
      <t>ムシ</t>
    </rPh>
    <phoneticPr fontId="1"/>
  </si>
  <si>
    <t>ヒ</t>
    <phoneticPr fontId="1"/>
  </si>
  <si>
    <t>メ</t>
    <phoneticPr fontId="1"/>
  </si>
  <si>
    <t>メ</t>
    <phoneticPr fontId="1"/>
  </si>
  <si>
    <t>ヒ</t>
    <phoneticPr fontId="1"/>
  </si>
  <si>
    <t>デ</t>
    <phoneticPr fontId="1"/>
  </si>
  <si>
    <t>キャラ固有耐性補助</t>
    <rPh sb="3" eb="5">
      <t>コユウ</t>
    </rPh>
    <rPh sb="5" eb="7">
      <t>タイセイ</t>
    </rPh>
    <rPh sb="7" eb="9">
      <t>ホジョ</t>
    </rPh>
    <phoneticPr fontId="1"/>
  </si>
  <si>
    <t>フバーハ</t>
    <phoneticPr fontId="1"/>
  </si>
  <si>
    <t>中</t>
    <rPh sb="0" eb="1">
      <t>チュウ</t>
    </rPh>
    <phoneticPr fontId="1"/>
  </si>
  <si>
    <t>高</t>
    <rPh sb="0" eb="1">
      <t>タカ</t>
    </rPh>
    <phoneticPr fontId="1"/>
  </si>
  <si>
    <t>貫通力</t>
  </si>
  <si>
    <t>低</t>
    <rPh sb="0" eb="1">
      <t>ヒク</t>
    </rPh>
    <phoneticPr fontId="1"/>
  </si>
  <si>
    <t>魔</t>
    <rPh sb="0" eb="1">
      <t>マ</t>
    </rPh>
    <phoneticPr fontId="1"/>
  </si>
  <si>
    <t>高</t>
    <rPh sb="0" eb="1">
      <t>タカ</t>
    </rPh>
    <phoneticPr fontId="1"/>
  </si>
  <si>
    <t>中</t>
    <rPh sb="0" eb="1">
      <t>チュウ</t>
    </rPh>
    <phoneticPr fontId="1"/>
  </si>
  <si>
    <t>魔</t>
    <rPh sb="0" eb="1">
      <t>マ</t>
    </rPh>
    <phoneticPr fontId="1"/>
  </si>
  <si>
    <t>バリア</t>
    <phoneticPr fontId="1"/>
  </si>
  <si>
    <t>不気味</t>
    <rPh sb="0" eb="3">
      <t>ブキミ</t>
    </rPh>
    <phoneticPr fontId="1"/>
  </si>
  <si>
    <t>バリア/不気味</t>
    <rPh sb="4" eb="7">
      <t>ブキミ</t>
    </rPh>
    <phoneticPr fontId="1"/>
  </si>
  <si>
    <t>ダミー</t>
    <phoneticPr fontId="1"/>
  </si>
  <si>
    <t>隊列</t>
    <rPh sb="0" eb="2">
      <t>タイレツ</t>
    </rPh>
    <phoneticPr fontId="1"/>
  </si>
  <si>
    <t>連続</t>
    <rPh sb="0" eb="2">
      <t>レンゾク</t>
    </rPh>
    <phoneticPr fontId="1"/>
  </si>
  <si>
    <t>なし</t>
    <phoneticPr fontId="1"/>
  </si>
  <si>
    <t>なし</t>
    <phoneticPr fontId="1"/>
  </si>
  <si>
    <t>痛恨</t>
    <rPh sb="0" eb="2">
      <t>ツウコン</t>
    </rPh>
    <phoneticPr fontId="1"/>
  </si>
  <si>
    <t>なし</t>
    <phoneticPr fontId="1"/>
  </si>
  <si>
    <t>回転</t>
    <rPh sb="0" eb="2">
      <t>カイテン</t>
    </rPh>
    <phoneticPr fontId="1"/>
  </si>
  <si>
    <t>かま</t>
    <phoneticPr fontId="1"/>
  </si>
  <si>
    <t>かま</t>
    <phoneticPr fontId="1"/>
  </si>
  <si>
    <t>かま</t>
    <phoneticPr fontId="1"/>
  </si>
  <si>
    <t>なし</t>
    <phoneticPr fontId="1"/>
  </si>
  <si>
    <t>なし</t>
    <phoneticPr fontId="1"/>
  </si>
  <si>
    <t>特殊</t>
    <rPh sb="0" eb="2">
      <t>トクシュ</t>
    </rPh>
    <phoneticPr fontId="1"/>
  </si>
  <si>
    <t>倍無</t>
    <rPh sb="0" eb="1">
      <t>バイ</t>
    </rPh>
    <rPh sb="1" eb="2">
      <t>ナシ</t>
    </rPh>
    <phoneticPr fontId="1"/>
  </si>
  <si>
    <t>隊列補助</t>
    <rPh sb="0" eb="2">
      <t>タイレツ</t>
    </rPh>
    <rPh sb="2" eb="4">
      <t>ホジョ</t>
    </rPh>
    <phoneticPr fontId="1"/>
  </si>
  <si>
    <t>フバーハ補助</t>
    <rPh sb="4" eb="6">
      <t>ホジョ</t>
    </rPh>
    <phoneticPr fontId="1"/>
  </si>
  <si>
    <t>バリア補助</t>
    <rPh sb="3" eb="5">
      <t>ホジョ</t>
    </rPh>
    <phoneticPr fontId="1"/>
  </si>
  <si>
    <t>防御補助</t>
    <rPh sb="0" eb="2">
      <t>ボウギョ</t>
    </rPh>
    <rPh sb="2" eb="4">
      <t>ホジョ</t>
    </rPh>
    <phoneticPr fontId="1"/>
  </si>
  <si>
    <t>スカラ補助</t>
    <rPh sb="3" eb="5">
      <t>ホジョ</t>
    </rPh>
    <phoneticPr fontId="1"/>
  </si>
  <si>
    <t>スクルト補助</t>
    <rPh sb="4" eb="6">
      <t>ホジョ</t>
    </rPh>
    <phoneticPr fontId="1"/>
  </si>
  <si>
    <t>耐性補助</t>
    <rPh sb="0" eb="2">
      <t>タイセイ</t>
    </rPh>
    <rPh sb="2" eb="4">
      <t>ホジョ</t>
    </rPh>
    <phoneticPr fontId="1"/>
  </si>
  <si>
    <t>燃</t>
    <rPh sb="0" eb="1">
      <t>モ</t>
    </rPh>
    <phoneticPr fontId="1"/>
  </si>
  <si>
    <t>凍</t>
    <rPh sb="0" eb="1">
      <t>イ</t>
    </rPh>
    <phoneticPr fontId="1"/>
  </si>
  <si>
    <t>念</t>
    <rPh sb="0" eb="1">
      <t>ネン</t>
    </rPh>
    <phoneticPr fontId="1"/>
  </si>
  <si>
    <t>叩</t>
    <rPh sb="0" eb="1">
      <t>タタ</t>
    </rPh>
    <phoneticPr fontId="1"/>
  </si>
  <si>
    <t>横軸補助</t>
    <rPh sb="0" eb="2">
      <t>ヨコジク</t>
    </rPh>
    <rPh sb="2" eb="4">
      <t>ホジョ</t>
    </rPh>
    <phoneticPr fontId="1"/>
  </si>
  <si>
    <t>キャラ名</t>
    <rPh sb="3" eb="4">
      <t>メイ</t>
    </rPh>
    <phoneticPr fontId="1"/>
  </si>
  <si>
    <t>属性</t>
    <rPh sb="0" eb="2">
      <t>ゾクセイ</t>
    </rPh>
    <phoneticPr fontId="1"/>
  </si>
  <si>
    <t>判定</t>
    <rPh sb="0" eb="2">
      <t>ハンテイ</t>
    </rPh>
    <phoneticPr fontId="1"/>
  </si>
  <si>
    <t>固定ダメージ攻撃（念じボール/叩きつける）</t>
    <rPh sb="0" eb="2">
      <t>コテイ</t>
    </rPh>
    <rPh sb="6" eb="8">
      <t>コウゲキ</t>
    </rPh>
    <rPh sb="9" eb="10">
      <t>ネン</t>
    </rPh>
    <rPh sb="15" eb="16">
      <t>タタ</t>
    </rPh>
    <phoneticPr fontId="1"/>
  </si>
  <si>
    <t>キャラ固有耐性補助の補助</t>
    <rPh sb="3" eb="5">
      <t>コユウ</t>
    </rPh>
    <rPh sb="5" eb="7">
      <t>タイセイ</t>
    </rPh>
    <rPh sb="7" eb="9">
      <t>ホジョ</t>
    </rPh>
    <rPh sb="10" eb="12">
      <t>ホジョ</t>
    </rPh>
    <phoneticPr fontId="1"/>
  </si>
  <si>
    <t>固定ダメージ攻撃（燃え盛る火炎/凍てつく冷気）</t>
    <rPh sb="0" eb="2">
      <t>コテイ</t>
    </rPh>
    <rPh sb="6" eb="8">
      <t>コウゲキ</t>
    </rPh>
    <rPh sb="9" eb="10">
      <t>モ</t>
    </rPh>
    <rPh sb="11" eb="12">
      <t>サカ</t>
    </rPh>
    <rPh sb="13" eb="15">
      <t>カエン</t>
    </rPh>
    <rPh sb="16" eb="17">
      <t>イ</t>
    </rPh>
    <rPh sb="20" eb="22">
      <t>レイキ</t>
    </rPh>
    <phoneticPr fontId="1"/>
  </si>
  <si>
    <t>しれんその2</t>
  </si>
  <si>
    <t>しれんその3</t>
  </si>
  <si>
    <t>せいれいのよろい</t>
    <phoneticPr fontId="1"/>
  </si>
  <si>
    <t>はがねのよろい</t>
    <phoneticPr fontId="1"/>
  </si>
  <si>
    <t>てつのむねあて</t>
    <phoneticPr fontId="1"/>
  </si>
  <si>
    <t>てつのたて</t>
    <phoneticPr fontId="1"/>
  </si>
  <si>
    <t>なし</t>
    <phoneticPr fontId="1"/>
  </si>
  <si>
    <t>てっかめん</t>
    <phoneticPr fontId="1"/>
  </si>
  <si>
    <t>てつかぶと</t>
    <phoneticPr fontId="1"/>
  </si>
  <si>
    <t>なし</t>
    <phoneticPr fontId="1"/>
  </si>
  <si>
    <t>うさみみバンド</t>
    <phoneticPr fontId="1"/>
  </si>
  <si>
    <t>きんのブレスレット</t>
    <phoneticPr fontId="1"/>
  </si>
  <si>
    <t>はやてのリング</t>
    <phoneticPr fontId="1"/>
  </si>
  <si>
    <t>戦士</t>
    <rPh sb="0" eb="2">
      <t>センシ</t>
    </rPh>
    <phoneticPr fontId="1"/>
  </si>
  <si>
    <t>無職</t>
    <rPh sb="0" eb="2">
      <t>ムショク</t>
    </rPh>
    <phoneticPr fontId="1"/>
  </si>
  <si>
    <t>ため（敵）</t>
    <rPh sb="3" eb="4">
      <t>テキ</t>
    </rPh>
    <phoneticPr fontId="1"/>
  </si>
  <si>
    <t>ため（味方）</t>
    <rPh sb="3" eb="5">
      <t>ミカタ</t>
    </rPh>
    <phoneticPr fontId="1"/>
  </si>
  <si>
    <t>ため</t>
    <phoneticPr fontId="1"/>
  </si>
  <si>
    <t>ムドー1</t>
  </si>
  <si>
    <t>ハッサン</t>
    <phoneticPr fontId="1"/>
  </si>
  <si>
    <t>ミレーユ</t>
    <phoneticPr fontId="1"/>
  </si>
  <si>
    <t>バーバラ</t>
    <phoneticPr fontId="1"/>
  </si>
  <si>
    <t>やいばのブーメラン</t>
    <phoneticPr fontId="1"/>
  </si>
  <si>
    <t>きぞくのふく</t>
    <phoneticPr fontId="1"/>
  </si>
  <si>
    <t>なし</t>
    <phoneticPr fontId="1"/>
  </si>
  <si>
    <t>きんのブレスレット</t>
    <phoneticPr fontId="1"/>
  </si>
  <si>
    <t>はがねのつるぎ</t>
    <phoneticPr fontId="1"/>
  </si>
  <si>
    <t>どくがのナイフ</t>
    <phoneticPr fontId="1"/>
  </si>
  <si>
    <t>いばらのムチ</t>
    <phoneticPr fontId="1"/>
  </si>
  <si>
    <t>けがわのマント</t>
    <phoneticPr fontId="1"/>
  </si>
  <si>
    <t>かわのドレス</t>
    <phoneticPr fontId="1"/>
  </si>
  <si>
    <t>せいどうのたて</t>
    <phoneticPr fontId="1"/>
  </si>
  <si>
    <t>きのぼうし</t>
    <phoneticPr fontId="1"/>
  </si>
  <si>
    <t>てつかぶと</t>
    <phoneticPr fontId="1"/>
  </si>
  <si>
    <t>うさみみバンド</t>
    <phoneticPr fontId="1"/>
  </si>
  <si>
    <t>ヘアバンド</t>
    <phoneticPr fontId="1"/>
  </si>
  <si>
    <t>なし</t>
    <phoneticPr fontId="1"/>
  </si>
  <si>
    <t>はやてのリング</t>
    <phoneticPr fontId="1"/>
  </si>
  <si>
    <t>戦闘人数</t>
    <rPh sb="0" eb="2">
      <t>セントウ</t>
    </rPh>
    <rPh sb="2" eb="4">
      <t>ニンズウ</t>
    </rPh>
    <phoneticPr fontId="1"/>
  </si>
  <si>
    <t>ムーンサルト</t>
    <phoneticPr fontId="1"/>
  </si>
  <si>
    <t>仁王立ち</t>
    <rPh sb="0" eb="2">
      <t>ニオウ</t>
    </rPh>
    <rPh sb="2" eb="3">
      <t>ダ</t>
    </rPh>
    <phoneticPr fontId="1"/>
  </si>
  <si>
    <t>デュラン</t>
    <phoneticPr fontId="1"/>
  </si>
  <si>
    <t>ハッサン</t>
    <phoneticPr fontId="1"/>
  </si>
  <si>
    <t>デュラン</t>
    <phoneticPr fontId="1"/>
  </si>
  <si>
    <t>アモス</t>
    <phoneticPr fontId="1"/>
  </si>
  <si>
    <t>主人公</t>
    <rPh sb="0" eb="3">
      <t>シュジンコウ</t>
    </rPh>
    <phoneticPr fontId="1"/>
  </si>
  <si>
    <t>てっかめん</t>
    <phoneticPr fontId="1"/>
  </si>
  <si>
    <t>全体</t>
    <rPh sb="0" eb="2">
      <t>ゼンタイ</t>
    </rPh>
    <phoneticPr fontId="1"/>
  </si>
  <si>
    <t>単体</t>
    <rPh sb="0" eb="2">
      <t>タンタイ</t>
    </rPh>
    <phoneticPr fontId="1"/>
  </si>
  <si>
    <t>３回</t>
    <rPh sb="1" eb="2">
      <t>カイ</t>
    </rPh>
    <phoneticPr fontId="1"/>
  </si>
  <si>
    <t>２回</t>
    <rPh sb="1" eb="2">
      <t>カイ</t>
    </rPh>
    <phoneticPr fontId="1"/>
  </si>
  <si>
    <t>しれんその3</t>
    <phoneticPr fontId="1"/>
  </si>
  <si>
    <t>てつのむねあて</t>
    <phoneticPr fontId="1"/>
  </si>
  <si>
    <t>なし</t>
    <phoneticPr fontId="1"/>
  </si>
  <si>
    <t>ムドー2</t>
  </si>
  <si>
    <t>きりさきピエロ</t>
  </si>
  <si>
    <t>ハッサン</t>
    <phoneticPr fontId="1"/>
  </si>
  <si>
    <t>ミレーユ</t>
    <phoneticPr fontId="1"/>
  </si>
  <si>
    <t>チャモロ</t>
    <phoneticPr fontId="1"/>
  </si>
  <si>
    <t>やいばのブーメラン</t>
    <phoneticPr fontId="1"/>
  </si>
  <si>
    <t>なし</t>
    <phoneticPr fontId="1"/>
  </si>
  <si>
    <t>せいれいのよろい</t>
    <phoneticPr fontId="1"/>
  </si>
  <si>
    <t>はがねのよろい</t>
    <phoneticPr fontId="1"/>
  </si>
  <si>
    <t>てつのむねあて</t>
    <phoneticPr fontId="1"/>
  </si>
  <si>
    <t>きぞくのふく</t>
    <phoneticPr fontId="1"/>
  </si>
  <si>
    <t>てつのたて</t>
    <phoneticPr fontId="1"/>
  </si>
  <si>
    <t>なし</t>
    <phoneticPr fontId="1"/>
  </si>
  <si>
    <t>せいどうのたて</t>
    <phoneticPr fontId="1"/>
  </si>
  <si>
    <t>てつかぶと</t>
    <phoneticPr fontId="1"/>
  </si>
  <si>
    <t>てっかめん</t>
    <phoneticPr fontId="1"/>
  </si>
  <si>
    <t>うさみみバンド</t>
    <phoneticPr fontId="1"/>
  </si>
  <si>
    <t>きのぼうし</t>
    <phoneticPr fontId="1"/>
  </si>
  <si>
    <t>きんのブレスレット</t>
    <phoneticPr fontId="1"/>
  </si>
  <si>
    <t>きんのブレスレット</t>
    <phoneticPr fontId="1"/>
  </si>
  <si>
    <t>なし</t>
    <phoneticPr fontId="1"/>
  </si>
  <si>
    <t>はやてのリング</t>
    <phoneticPr fontId="1"/>
  </si>
  <si>
    <t>無職</t>
    <rPh sb="0" eb="2">
      <t>ムショク</t>
    </rPh>
    <phoneticPr fontId="1"/>
  </si>
  <si>
    <t>なし</t>
    <phoneticPr fontId="1"/>
  </si>
  <si>
    <t>単体</t>
    <rPh sb="0" eb="2">
      <t>タンタイ</t>
    </rPh>
    <phoneticPr fontId="1"/>
  </si>
  <si>
    <t>全体</t>
    <rPh sb="0" eb="2">
      <t>ゼンタイ</t>
    </rPh>
    <phoneticPr fontId="1"/>
  </si>
  <si>
    <t>なし</t>
    <phoneticPr fontId="1"/>
  </si>
  <si>
    <t>岩石</t>
    <rPh sb="0" eb="2">
      <t>ガンセキ</t>
    </rPh>
    <phoneticPr fontId="1"/>
  </si>
  <si>
    <t>会心</t>
    <rPh sb="0" eb="2">
      <t>カイシン</t>
    </rPh>
    <phoneticPr fontId="1"/>
  </si>
  <si>
    <t>魔力</t>
    <rPh sb="0" eb="2">
      <t>マリョク</t>
    </rPh>
    <phoneticPr fontId="1"/>
  </si>
  <si>
    <t>メラミ</t>
  </si>
  <si>
    <t>敵固有耐性補助の補助</t>
    <rPh sb="0" eb="1">
      <t>テキ</t>
    </rPh>
    <rPh sb="1" eb="3">
      <t>コユウ</t>
    </rPh>
    <rPh sb="3" eb="5">
      <t>タイセイ</t>
    </rPh>
    <rPh sb="5" eb="7">
      <t>ホジョ</t>
    </rPh>
    <rPh sb="8" eb="10">
      <t>ホジョ</t>
    </rPh>
    <phoneticPr fontId="1"/>
  </si>
  <si>
    <t>敵固有耐性補助</t>
    <rPh sb="0" eb="1">
      <t>テキ</t>
    </rPh>
    <rPh sb="1" eb="3">
      <t>コユウ</t>
    </rPh>
    <rPh sb="3" eb="5">
      <t>タイセイ</t>
    </rPh>
    <rPh sb="5" eb="7">
      <t>ホジョ</t>
    </rPh>
    <phoneticPr fontId="1"/>
  </si>
  <si>
    <t>ドラゴン</t>
    <phoneticPr fontId="1"/>
  </si>
  <si>
    <t>捨て身</t>
    <rPh sb="0" eb="1">
      <t>ス</t>
    </rPh>
    <rPh sb="2" eb="3">
      <t>ミ</t>
    </rPh>
    <phoneticPr fontId="1"/>
  </si>
  <si>
    <t>物理</t>
    <rPh sb="0" eb="2">
      <t>ブツリ</t>
    </rPh>
    <phoneticPr fontId="1"/>
  </si>
  <si>
    <t>倍無</t>
    <rPh sb="0" eb="1">
      <t>バイ</t>
    </rPh>
    <rPh sb="1" eb="2">
      <t>ナシ</t>
    </rPh>
    <phoneticPr fontId="1"/>
  </si>
  <si>
    <t>単体</t>
    <rPh sb="0" eb="2">
      <t>タンタイ</t>
    </rPh>
    <phoneticPr fontId="1"/>
  </si>
  <si>
    <t>あり</t>
  </si>
  <si>
    <t>魔法剣</t>
    <rPh sb="0" eb="2">
      <t>マホウ</t>
    </rPh>
    <rPh sb="2" eb="3">
      <t>ツルギ</t>
    </rPh>
    <phoneticPr fontId="1"/>
  </si>
  <si>
    <t>ダメージ計算（味方→敵）</t>
    <rPh sb="4" eb="6">
      <t>ケイサン</t>
    </rPh>
    <rPh sb="7" eb="9">
      <t>ミカタ</t>
    </rPh>
    <rPh sb="10" eb="11">
      <t>テキ</t>
    </rPh>
    <phoneticPr fontId="1"/>
  </si>
  <si>
    <t>火炎斬り</t>
    <rPh sb="0" eb="3">
      <t>カエンギ</t>
    </rPh>
    <phoneticPr fontId="1"/>
  </si>
  <si>
    <t>メ</t>
    <phoneticPr fontId="1"/>
  </si>
  <si>
    <t>魔</t>
    <rPh sb="0" eb="1">
      <t>マ</t>
    </rPh>
    <phoneticPr fontId="1"/>
  </si>
  <si>
    <t>単体</t>
    <rPh sb="0" eb="2">
      <t>タンタイ</t>
    </rPh>
    <phoneticPr fontId="1"/>
  </si>
  <si>
    <t>経験値</t>
    <rPh sb="0" eb="3">
      <t>ケイケンチ</t>
    </rPh>
    <phoneticPr fontId="1"/>
  </si>
  <si>
    <t>イベント</t>
    <phoneticPr fontId="1"/>
  </si>
  <si>
    <t>初期Exp</t>
    <rPh sb="0" eb="2">
      <t>ショキ</t>
    </rPh>
    <phoneticPr fontId="1"/>
  </si>
  <si>
    <t>-</t>
    <phoneticPr fontId="1"/>
  </si>
  <si>
    <t>○×</t>
    <phoneticPr fontId="1"/>
  </si>
  <si>
    <t>○</t>
  </si>
  <si>
    <t>○</t>
    <phoneticPr fontId="1"/>
  </si>
  <si>
    <t>獲</t>
    <rPh sb="0" eb="1">
      <t>エ</t>
    </rPh>
    <phoneticPr fontId="1"/>
  </si>
  <si>
    <t>雑魚敵</t>
    <rPh sb="0" eb="2">
      <t>ザコ</t>
    </rPh>
    <rPh sb="2" eb="3">
      <t>テキ</t>
    </rPh>
    <phoneticPr fontId="1"/>
  </si>
  <si>
    <t>とうのへいたい</t>
    <phoneticPr fontId="1"/>
  </si>
  <si>
    <t>ブラディーポ</t>
    <phoneticPr fontId="1"/>
  </si>
  <si>
    <t>ホラービースト</t>
    <phoneticPr fontId="1"/>
  </si>
  <si>
    <t>ムドー1</t>
    <phoneticPr fontId="1"/>
  </si>
  <si>
    <t>ビッグ</t>
    <phoneticPr fontId="1"/>
  </si>
  <si>
    <t>スモッグ</t>
    <phoneticPr fontId="1"/>
  </si>
  <si>
    <t>ムドー3</t>
    <phoneticPr fontId="1"/>
  </si>
  <si>
    <t>熟練度稼ぎ</t>
    <rPh sb="0" eb="3">
      <t>ジュクレンド</t>
    </rPh>
    <rPh sb="3" eb="4">
      <t>カセ</t>
    </rPh>
    <phoneticPr fontId="1"/>
  </si>
  <si>
    <t>ホリデイ</t>
    <phoneticPr fontId="1"/>
  </si>
  <si>
    <t>ブラスト</t>
    <phoneticPr fontId="1"/>
  </si>
  <si>
    <t>ホラーウォーカー</t>
    <phoneticPr fontId="1"/>
  </si>
  <si>
    <t>ジャミラス</t>
    <phoneticPr fontId="1"/>
  </si>
  <si>
    <t>しれんその1</t>
    <phoneticPr fontId="1"/>
  </si>
  <si>
    <t>しれんその2</t>
    <phoneticPr fontId="1"/>
  </si>
  <si>
    <t>しれんその3</t>
    <phoneticPr fontId="1"/>
  </si>
  <si>
    <t>いどまじん</t>
    <phoneticPr fontId="1"/>
  </si>
  <si>
    <t>ランプのまじん</t>
    <phoneticPr fontId="1"/>
  </si>
  <si>
    <t>ミラルゴ</t>
    <phoneticPr fontId="1"/>
  </si>
  <si>
    <t>ムドー2</t>
    <phoneticPr fontId="1"/>
  </si>
  <si>
    <t>グラコス</t>
    <phoneticPr fontId="1"/>
  </si>
  <si>
    <t>ライフコッド雑魚</t>
    <rPh sb="6" eb="8">
      <t>ザコ</t>
    </rPh>
    <phoneticPr fontId="1"/>
  </si>
  <si>
    <t>まおうのつかい</t>
  </si>
  <si>
    <t>まおうのつかい</t>
    <phoneticPr fontId="1"/>
  </si>
  <si>
    <t>キラーマジンガ</t>
    <phoneticPr fontId="1"/>
  </si>
  <si>
    <t>テリー</t>
    <phoneticPr fontId="1"/>
  </si>
  <si>
    <t>デュラン</t>
    <phoneticPr fontId="1"/>
  </si>
  <si>
    <t>ランプのまおう</t>
    <phoneticPr fontId="1"/>
  </si>
  <si>
    <t>ホロゴースト</t>
    <phoneticPr fontId="1"/>
  </si>
  <si>
    <t>デビルパピヨン</t>
    <phoneticPr fontId="1"/>
  </si>
  <si>
    <t>ガーディアン</t>
    <phoneticPr fontId="1"/>
  </si>
  <si>
    <t>ズイカク</t>
    <phoneticPr fontId="1"/>
  </si>
  <si>
    <t>ショウカク</t>
    <phoneticPr fontId="1"/>
  </si>
  <si>
    <t>合計</t>
    <rPh sb="0" eb="2">
      <t>ゴウケイ</t>
    </rPh>
    <phoneticPr fontId="1"/>
  </si>
  <si>
    <t>Prev</t>
    <phoneticPr fontId="1"/>
  </si>
  <si>
    <t>Next</t>
    <phoneticPr fontId="1"/>
  </si>
  <si>
    <t>経験値管理表</t>
    <phoneticPr fontId="1"/>
  </si>
  <si>
    <t>○</t>
    <phoneticPr fontId="1"/>
  </si>
  <si>
    <t>とうのへいたい</t>
    <phoneticPr fontId="1"/>
  </si>
  <si>
    <t>ブラディーポ</t>
    <phoneticPr fontId="1"/>
  </si>
  <si>
    <t>スライムナイト</t>
    <phoneticPr fontId="1"/>
  </si>
  <si>
    <t>ベビーゴイル</t>
  </si>
  <si>
    <t>ベビーゴイル</t>
    <phoneticPr fontId="1"/>
  </si>
  <si>
    <t>どくろあらい</t>
    <phoneticPr fontId="1"/>
  </si>
  <si>
    <t>ギズモ</t>
    <phoneticPr fontId="1"/>
  </si>
  <si>
    <t>シールドこぞう</t>
    <phoneticPr fontId="1"/>
  </si>
  <si>
    <t>アロードッグ</t>
    <phoneticPr fontId="1"/>
  </si>
  <si>
    <t>きりかぶこぞう</t>
    <phoneticPr fontId="1"/>
  </si>
  <si>
    <t>ポイズンゾンビ</t>
    <phoneticPr fontId="1"/>
  </si>
  <si>
    <t>ポイズンゾンビ</t>
    <phoneticPr fontId="1"/>
  </si>
  <si>
    <t>ハッサン</t>
    <phoneticPr fontId="1"/>
  </si>
  <si>
    <t>ミレーユ</t>
    <phoneticPr fontId="1"/>
  </si>
  <si>
    <t>ピーポ</t>
    <phoneticPr fontId="1"/>
  </si>
  <si>
    <t>どろにんぎょう</t>
  </si>
  <si>
    <t>ホラービースト</t>
    <phoneticPr fontId="1"/>
  </si>
  <si>
    <t>ヘルビースト</t>
    <phoneticPr fontId="1"/>
  </si>
  <si>
    <t>チャモロ</t>
    <phoneticPr fontId="1"/>
  </si>
  <si>
    <t>ビッグ</t>
    <phoneticPr fontId="1"/>
  </si>
  <si>
    <t>スモッグ</t>
    <phoneticPr fontId="1"/>
  </si>
  <si>
    <t>きりさきピエロ</t>
    <phoneticPr fontId="1"/>
  </si>
  <si>
    <t>ムドー3</t>
    <phoneticPr fontId="1"/>
  </si>
  <si>
    <t>なし</t>
    <phoneticPr fontId="1"/>
  </si>
  <si>
    <t>モンストラー</t>
    <phoneticPr fontId="1"/>
  </si>
  <si>
    <t>ミレーユ</t>
    <phoneticPr fontId="1"/>
  </si>
  <si>
    <t>バブルスライム</t>
    <phoneticPr fontId="1"/>
  </si>
  <si>
    <t>ヘルホーネット</t>
    <phoneticPr fontId="1"/>
  </si>
  <si>
    <t>ガルシア</t>
    <phoneticPr fontId="1"/>
  </si>
  <si>
    <t>アモス</t>
    <phoneticPr fontId="1"/>
  </si>
  <si>
    <t>ハッサン</t>
    <phoneticPr fontId="1"/>
  </si>
  <si>
    <t>主人公</t>
    <rPh sb="0" eb="3">
      <t>シュジンコウ</t>
    </rPh>
    <phoneticPr fontId="1"/>
  </si>
  <si>
    <t>スコット</t>
    <phoneticPr fontId="1"/>
  </si>
  <si>
    <t>ホリデイ</t>
    <phoneticPr fontId="1"/>
  </si>
  <si>
    <t>ブラスト</t>
    <phoneticPr fontId="1"/>
  </si>
  <si>
    <t>ホラーウォーカー</t>
    <phoneticPr fontId="1"/>
  </si>
  <si>
    <t>かくとうパンサー</t>
    <phoneticPr fontId="1"/>
  </si>
  <si>
    <t>アモス</t>
    <phoneticPr fontId="1"/>
  </si>
  <si>
    <t>ハッサン</t>
    <phoneticPr fontId="1"/>
  </si>
  <si>
    <t>バーバラ</t>
    <phoneticPr fontId="1"/>
  </si>
  <si>
    <t>ジャミラス</t>
    <phoneticPr fontId="1"/>
  </si>
  <si>
    <t>ジャミラス</t>
    <phoneticPr fontId="1"/>
  </si>
  <si>
    <t>アモス</t>
    <phoneticPr fontId="1"/>
  </si>
  <si>
    <t>ハッサン</t>
    <phoneticPr fontId="1"/>
  </si>
  <si>
    <t>ミレーユ</t>
    <phoneticPr fontId="1"/>
  </si>
  <si>
    <t>ミレーユ</t>
    <phoneticPr fontId="1"/>
  </si>
  <si>
    <t>しれんその1</t>
    <phoneticPr fontId="1"/>
  </si>
  <si>
    <t>しれんその2</t>
    <phoneticPr fontId="1"/>
  </si>
  <si>
    <t>いどまじん</t>
    <phoneticPr fontId="1"/>
  </si>
  <si>
    <t>ミラルゴ</t>
    <phoneticPr fontId="1"/>
  </si>
  <si>
    <t>ランプのまじん</t>
    <phoneticPr fontId="1"/>
  </si>
  <si>
    <t>グラコス</t>
    <phoneticPr fontId="1"/>
  </si>
  <si>
    <t>ずしおうまる</t>
  </si>
  <si>
    <t>バーサクオーク</t>
  </si>
  <si>
    <t>てっこうまじん</t>
  </si>
  <si>
    <t>ボストロール</t>
  </si>
  <si>
    <t>アモス</t>
    <phoneticPr fontId="1"/>
  </si>
  <si>
    <t>バーバラ</t>
    <phoneticPr fontId="1"/>
  </si>
  <si>
    <t>バーバラ</t>
    <phoneticPr fontId="1"/>
  </si>
  <si>
    <t>ヘルクラウド</t>
    <phoneticPr fontId="1"/>
  </si>
  <si>
    <t>キラーマジンガ</t>
    <phoneticPr fontId="1"/>
  </si>
  <si>
    <t>ランドアーマー</t>
    <phoneticPr fontId="1"/>
  </si>
  <si>
    <t>テリー</t>
    <phoneticPr fontId="1"/>
  </si>
  <si>
    <t>天馬の塔</t>
    <rPh sb="0" eb="2">
      <t>テンマ</t>
    </rPh>
    <rPh sb="3" eb="4">
      <t>トウ</t>
    </rPh>
    <phoneticPr fontId="1"/>
  </si>
  <si>
    <t>ランプのまおう</t>
    <phoneticPr fontId="1"/>
  </si>
  <si>
    <t>ホロゴースト</t>
    <phoneticPr fontId="1"/>
  </si>
  <si>
    <t>ランプのまおう</t>
    <phoneticPr fontId="1"/>
  </si>
  <si>
    <t>デビルパピヨン</t>
    <phoneticPr fontId="1"/>
  </si>
  <si>
    <t>テリー</t>
    <phoneticPr fontId="1"/>
  </si>
  <si>
    <t>なげきのきょじん</t>
    <phoneticPr fontId="1"/>
  </si>
  <si>
    <t>ドランゴ</t>
    <phoneticPr fontId="1"/>
  </si>
  <si>
    <t>アクバー</t>
    <phoneticPr fontId="1"/>
  </si>
  <si>
    <t>アクバー</t>
    <phoneticPr fontId="1"/>
  </si>
  <si>
    <t>ガーディアン</t>
    <phoneticPr fontId="1"/>
  </si>
  <si>
    <t>ガーディアン</t>
    <phoneticPr fontId="1"/>
  </si>
  <si>
    <t>ズイカク</t>
    <phoneticPr fontId="1"/>
  </si>
  <si>
    <t>ショウカク</t>
    <phoneticPr fontId="1"/>
  </si>
  <si>
    <t>デスタムーア1</t>
    <phoneticPr fontId="1"/>
  </si>
  <si>
    <t>デスタムーア2</t>
    <phoneticPr fontId="1"/>
  </si>
  <si>
    <t>デスタムーア3</t>
    <phoneticPr fontId="1"/>
  </si>
  <si>
    <t>ひだりて</t>
    <phoneticPr fontId="1"/>
  </si>
  <si>
    <t>みぎて</t>
    <phoneticPr fontId="1"/>
  </si>
  <si>
    <t>ポイズンゾンビ</t>
    <phoneticPr fontId="1"/>
  </si>
  <si>
    <t>ドランゴ</t>
    <phoneticPr fontId="1"/>
  </si>
  <si>
    <t>ハッサン</t>
    <phoneticPr fontId="1"/>
  </si>
  <si>
    <t>テリー</t>
    <phoneticPr fontId="1"/>
  </si>
  <si>
    <t>主人公</t>
    <rPh sb="0" eb="3">
      <t>シュジンコウ</t>
    </rPh>
    <phoneticPr fontId="1"/>
  </si>
  <si>
    <t>てつのツメ</t>
    <phoneticPr fontId="1"/>
  </si>
  <si>
    <t>せいどうのたて</t>
    <phoneticPr fontId="1"/>
  </si>
  <si>
    <t>きのぼうし</t>
    <phoneticPr fontId="1"/>
  </si>
  <si>
    <t>なし</t>
    <phoneticPr fontId="1"/>
  </si>
  <si>
    <t>なし</t>
    <phoneticPr fontId="1"/>
  </si>
  <si>
    <t>無職</t>
    <rPh sb="0" eb="2">
      <t>ムショク</t>
    </rPh>
    <phoneticPr fontId="1"/>
  </si>
  <si>
    <t>戦士</t>
    <rPh sb="0" eb="2">
      <t>センシ</t>
    </rPh>
    <phoneticPr fontId="1"/>
  </si>
  <si>
    <t>バトルマスター</t>
    <phoneticPr fontId="1"/>
  </si>
  <si>
    <t>ドラゴン</t>
    <phoneticPr fontId="1"/>
  </si>
  <si>
    <t>ドラゴン</t>
    <phoneticPr fontId="1"/>
  </si>
  <si>
    <t>きぞくのふく</t>
    <phoneticPr fontId="1"/>
  </si>
  <si>
    <t>きんのブレスレット</t>
    <phoneticPr fontId="1"/>
  </si>
  <si>
    <t>てつのツメ</t>
    <phoneticPr fontId="1"/>
  </si>
  <si>
    <t>けがわのマント</t>
    <phoneticPr fontId="1"/>
  </si>
  <si>
    <t>せいどうのたて</t>
    <phoneticPr fontId="1"/>
  </si>
  <si>
    <t>どくがのナイフ</t>
    <phoneticPr fontId="1"/>
  </si>
  <si>
    <t>うさみみバンド</t>
    <phoneticPr fontId="1"/>
  </si>
  <si>
    <t>てつのむねあて</t>
    <phoneticPr fontId="1"/>
  </si>
  <si>
    <t>きんのブレスレット</t>
    <phoneticPr fontId="1"/>
  </si>
  <si>
    <t>なし</t>
    <phoneticPr fontId="1"/>
  </si>
  <si>
    <t>ゲントのつえ</t>
    <phoneticPr fontId="1"/>
  </si>
  <si>
    <t>たびびとのふく</t>
    <phoneticPr fontId="1"/>
  </si>
  <si>
    <t>なし</t>
    <phoneticPr fontId="1"/>
  </si>
  <si>
    <t>かわのぼうし</t>
    <phoneticPr fontId="1"/>
  </si>
  <si>
    <t>てっかめん</t>
    <phoneticPr fontId="1"/>
  </si>
  <si>
    <t>はがねのよろい</t>
    <phoneticPr fontId="1"/>
  </si>
  <si>
    <t>ハッサン</t>
    <phoneticPr fontId="1"/>
  </si>
  <si>
    <t>うさみみバンド</t>
    <phoneticPr fontId="1"/>
  </si>
  <si>
    <t>せいれいのよろい</t>
    <phoneticPr fontId="1"/>
  </si>
  <si>
    <t>てつのたて</t>
    <phoneticPr fontId="1"/>
  </si>
  <si>
    <t>てつかぶと</t>
    <phoneticPr fontId="1"/>
  </si>
  <si>
    <t>やいばのブーメラン</t>
    <phoneticPr fontId="1"/>
  </si>
  <si>
    <t>バトルアックス</t>
    <phoneticPr fontId="1"/>
  </si>
  <si>
    <t>はじゃのつるぎ</t>
    <phoneticPr fontId="1"/>
  </si>
  <si>
    <t>なし</t>
    <phoneticPr fontId="1"/>
  </si>
  <si>
    <t>ほのおのツメ</t>
    <phoneticPr fontId="1"/>
  </si>
  <si>
    <t>いばらのムチ</t>
    <phoneticPr fontId="1"/>
  </si>
  <si>
    <t>かわのドレス</t>
    <phoneticPr fontId="1"/>
  </si>
  <si>
    <t>ヘアバンド</t>
    <phoneticPr fontId="1"/>
  </si>
  <si>
    <t>僧侶</t>
    <rPh sb="0" eb="2">
      <t>ソウリョ</t>
    </rPh>
    <phoneticPr fontId="1"/>
  </si>
  <si>
    <t>はやてのリング</t>
    <phoneticPr fontId="1"/>
  </si>
  <si>
    <t>バトルアックス</t>
    <phoneticPr fontId="1"/>
  </si>
  <si>
    <t>プラチナソード</t>
    <phoneticPr fontId="1"/>
  </si>
  <si>
    <t>ちからのルビー</t>
    <phoneticPr fontId="1"/>
  </si>
  <si>
    <t>きせきのつるぎ</t>
    <phoneticPr fontId="1"/>
  </si>
  <si>
    <t>しんぴのよろい</t>
    <phoneticPr fontId="1"/>
  </si>
  <si>
    <t>まどろみのけん</t>
    <phoneticPr fontId="1"/>
  </si>
  <si>
    <t>きせきのつるぎ</t>
    <phoneticPr fontId="1"/>
  </si>
  <si>
    <t>オルゴーのよろい</t>
    <phoneticPr fontId="1"/>
  </si>
  <si>
    <t>スフィーダのたて</t>
    <phoneticPr fontId="1"/>
  </si>
  <si>
    <t>ヘアバンド</t>
    <phoneticPr fontId="1"/>
  </si>
  <si>
    <t>ラミアスのつるぎ</t>
    <phoneticPr fontId="1"/>
  </si>
  <si>
    <t>セバスのかぶと</t>
    <phoneticPr fontId="1"/>
  </si>
  <si>
    <t>ほしふるうでわ</t>
    <phoneticPr fontId="1"/>
  </si>
  <si>
    <t>プラチナシールド</t>
    <phoneticPr fontId="1"/>
  </si>
  <si>
    <t>メタルキングヘルム</t>
    <phoneticPr fontId="1"/>
  </si>
  <si>
    <t>マグマのつえ</t>
    <phoneticPr fontId="1"/>
  </si>
  <si>
    <t>らいめいのけん</t>
    <phoneticPr fontId="1"/>
  </si>
  <si>
    <t>ドラゴンメイル</t>
    <phoneticPr fontId="1"/>
  </si>
  <si>
    <t>ドラゴンシールド</t>
    <phoneticPr fontId="1"/>
  </si>
  <si>
    <t>プラチナヘッド</t>
    <phoneticPr fontId="1"/>
  </si>
  <si>
    <t>まじんのかなづち</t>
    <phoneticPr fontId="1"/>
  </si>
  <si>
    <t>ドラゴンシールド</t>
    <phoneticPr fontId="1"/>
  </si>
  <si>
    <t>プラチナヘッド</t>
    <phoneticPr fontId="1"/>
  </si>
  <si>
    <t>エンデのたて</t>
    <phoneticPr fontId="1"/>
  </si>
  <si>
    <t>プラチナメイル</t>
    <phoneticPr fontId="1"/>
  </si>
  <si>
    <t>みかがみのたて</t>
    <phoneticPr fontId="1"/>
  </si>
  <si>
    <t>みかがみのたて</t>
    <phoneticPr fontId="1"/>
  </si>
  <si>
    <t>シルバートレイ</t>
    <phoneticPr fontId="1"/>
  </si>
  <si>
    <t>きぞくのふく</t>
    <phoneticPr fontId="1"/>
  </si>
  <si>
    <t>せいどうのたて</t>
    <phoneticPr fontId="1"/>
  </si>
  <si>
    <t>きのぼうし</t>
    <phoneticPr fontId="1"/>
  </si>
  <si>
    <t>なし</t>
    <phoneticPr fontId="1"/>
  </si>
  <si>
    <t>らいめいのけん</t>
    <phoneticPr fontId="1"/>
  </si>
  <si>
    <t>プラチナメイル</t>
    <phoneticPr fontId="1"/>
  </si>
  <si>
    <t>ドラゴンローブ</t>
    <phoneticPr fontId="1"/>
  </si>
  <si>
    <t>メタルキングのけん</t>
    <phoneticPr fontId="1"/>
  </si>
  <si>
    <t>ライデイン</t>
  </si>
  <si>
    <t>メラゾーマ</t>
  </si>
  <si>
    <t>イオナズン</t>
  </si>
  <si>
    <t>初めにお読みください</t>
    <rPh sb="0" eb="1">
      <t>ハジ</t>
    </rPh>
    <rPh sb="4" eb="5">
      <t>ヨ</t>
    </rPh>
    <phoneticPr fontId="1"/>
  </si>
  <si>
    <t>◆本計算機について</t>
    <rPh sb="1" eb="2">
      <t>ホン</t>
    </rPh>
    <rPh sb="2" eb="5">
      <t>ケイサンキ</t>
    </rPh>
    <phoneticPr fontId="1"/>
  </si>
  <si>
    <t>SFC版ドラゴンクエストⅥにおけるダメージ計算の補助となるものを作成してみました．</t>
    <rPh sb="3" eb="4">
      <t>バン</t>
    </rPh>
    <rPh sb="21" eb="23">
      <t>ケイサン</t>
    </rPh>
    <rPh sb="24" eb="26">
      <t>ホジョ</t>
    </rPh>
    <rPh sb="32" eb="34">
      <t>サクセイ</t>
    </rPh>
    <phoneticPr fontId="1"/>
  </si>
  <si>
    <t>本計算機で可能なことは，主に以下3点になります．</t>
    <rPh sb="0" eb="1">
      <t>ホン</t>
    </rPh>
    <rPh sb="1" eb="4">
      <t>ケイサンキ</t>
    </rPh>
    <rPh sb="5" eb="7">
      <t>カノウ</t>
    </rPh>
    <rPh sb="12" eb="13">
      <t>オモ</t>
    </rPh>
    <rPh sb="14" eb="16">
      <t>イカ</t>
    </rPh>
    <rPh sb="17" eb="18">
      <t>テン</t>
    </rPh>
    <phoneticPr fontId="1"/>
  </si>
  <si>
    <t>1．ダメージ計算</t>
    <rPh sb="6" eb="8">
      <t>ケイサン</t>
    </rPh>
    <phoneticPr fontId="1"/>
  </si>
  <si>
    <t>2．先攻・後攻の計算</t>
    <rPh sb="2" eb="4">
      <t>センコウ</t>
    </rPh>
    <rPh sb="5" eb="7">
      <t>コウコウ</t>
    </rPh>
    <rPh sb="8" eb="10">
      <t>ケイサン</t>
    </rPh>
    <phoneticPr fontId="1"/>
  </si>
  <si>
    <t>3．経験値の管理</t>
    <rPh sb="2" eb="5">
      <t>ケイケンチ</t>
    </rPh>
    <rPh sb="6" eb="8">
      <t>カンリ</t>
    </rPh>
    <phoneticPr fontId="1"/>
  </si>
  <si>
    <t>◆基本的な使い方</t>
    <rPh sb="1" eb="4">
      <t>キホンテキ</t>
    </rPh>
    <rPh sb="5" eb="6">
      <t>ツカ</t>
    </rPh>
    <rPh sb="7" eb="8">
      <t>カタ</t>
    </rPh>
    <phoneticPr fontId="1"/>
  </si>
  <si>
    <t>主に，3枚のシートを利用します．</t>
    <rPh sb="0" eb="1">
      <t>オモ</t>
    </rPh>
    <rPh sb="4" eb="5">
      <t>マイ</t>
    </rPh>
    <rPh sb="10" eb="12">
      <t>リヨウ</t>
    </rPh>
    <phoneticPr fontId="1"/>
  </si>
  <si>
    <t>1．計算</t>
    <rPh sb="2" eb="4">
      <t>ケイサン</t>
    </rPh>
    <phoneticPr fontId="1"/>
  </si>
  <si>
    <t>ダメージや先攻・後攻の計算の結果が表示されるシートとなります．</t>
    <rPh sb="5" eb="7">
      <t>センコウ</t>
    </rPh>
    <rPh sb="8" eb="10">
      <t>コウコウ</t>
    </rPh>
    <rPh sb="11" eb="13">
      <t>ケイサン</t>
    </rPh>
    <rPh sb="14" eb="16">
      <t>ケッカ</t>
    </rPh>
    <rPh sb="17" eb="19">
      <t>ヒョウジ</t>
    </rPh>
    <phoneticPr fontId="1"/>
  </si>
  <si>
    <t>ほしふるうでわ</t>
    <phoneticPr fontId="1"/>
  </si>
  <si>
    <t>なし</t>
    <phoneticPr fontId="1"/>
  </si>
  <si>
    <t>はやてのリング</t>
    <phoneticPr fontId="1"/>
  </si>
  <si>
    <t>なし</t>
    <phoneticPr fontId="1"/>
  </si>
  <si>
    <t>ほしふるうでわ</t>
    <phoneticPr fontId="1"/>
  </si>
  <si>
    <t>このシートには，戦況に応じて変化する内容のみを入力することとなります．</t>
    <rPh sb="8" eb="10">
      <t>センキョウ</t>
    </rPh>
    <rPh sb="11" eb="12">
      <t>オウ</t>
    </rPh>
    <rPh sb="14" eb="16">
      <t>ヘンカ</t>
    </rPh>
    <rPh sb="18" eb="20">
      <t>ナイヨウ</t>
    </rPh>
    <rPh sb="23" eb="25">
      <t>ニュウリョク</t>
    </rPh>
    <phoneticPr fontId="1"/>
  </si>
  <si>
    <t>赤字となっている箇所以外は変更しないでください．</t>
    <rPh sb="0" eb="2">
      <t>アカジ</t>
    </rPh>
    <rPh sb="8" eb="10">
      <t>カショ</t>
    </rPh>
    <rPh sb="10" eb="12">
      <t>イガイ</t>
    </rPh>
    <rPh sb="13" eb="15">
      <t>ヘンコウ</t>
    </rPh>
    <phoneticPr fontId="1"/>
  </si>
  <si>
    <t>2．基本ステータス</t>
    <rPh sb="2" eb="4">
      <t>キホン</t>
    </rPh>
    <phoneticPr fontId="1"/>
  </si>
  <si>
    <t>戦闘状況（出現する敵，パーティのLv，装備，種木の実，職業など）を入力します．</t>
    <rPh sb="0" eb="2">
      <t>セントウ</t>
    </rPh>
    <rPh sb="2" eb="4">
      <t>ジョウキョウ</t>
    </rPh>
    <rPh sb="5" eb="7">
      <t>シュツゲン</t>
    </rPh>
    <rPh sb="9" eb="10">
      <t>テキ</t>
    </rPh>
    <rPh sb="19" eb="21">
      <t>ソウビ</t>
    </rPh>
    <rPh sb="22" eb="23">
      <t>タネ</t>
    </rPh>
    <rPh sb="23" eb="24">
      <t>キ</t>
    </rPh>
    <rPh sb="25" eb="26">
      <t>ミ</t>
    </rPh>
    <rPh sb="27" eb="29">
      <t>ショクギョウ</t>
    </rPh>
    <rPh sb="33" eb="35">
      <t>ニュウリョク</t>
    </rPh>
    <phoneticPr fontId="1"/>
  </si>
  <si>
    <t>こちらに入力した内容を，計算シートで選択することになります．</t>
    <rPh sb="4" eb="6">
      <t>ニュウリョク</t>
    </rPh>
    <rPh sb="8" eb="10">
      <t>ナイヨウ</t>
    </rPh>
    <rPh sb="12" eb="14">
      <t>ケイサン</t>
    </rPh>
    <rPh sb="18" eb="20">
      <t>センタク</t>
    </rPh>
    <phoneticPr fontId="1"/>
  </si>
  <si>
    <t>キャラクタを選択した場合は，何も装備していない場合は，「なし」と入力してください．</t>
    <rPh sb="6" eb="8">
      <t>センタク</t>
    </rPh>
    <rPh sb="10" eb="12">
      <t>バアイ</t>
    </rPh>
    <rPh sb="14" eb="15">
      <t>ナニ</t>
    </rPh>
    <rPh sb="16" eb="18">
      <t>ソウビ</t>
    </rPh>
    <rPh sb="23" eb="25">
      <t>バアイ</t>
    </rPh>
    <rPh sb="32" eb="34">
      <t>ニュウリョク</t>
    </rPh>
    <phoneticPr fontId="1"/>
  </si>
  <si>
    <t>同様に，種，木の実を1つも使用していない場合は0，無職の場合は「無職」と入力して下さい．</t>
    <rPh sb="0" eb="2">
      <t>ドウヨウ</t>
    </rPh>
    <rPh sb="4" eb="5">
      <t>タネ</t>
    </rPh>
    <rPh sb="6" eb="7">
      <t>キ</t>
    </rPh>
    <rPh sb="8" eb="9">
      <t>ミ</t>
    </rPh>
    <rPh sb="13" eb="15">
      <t>シヨウ</t>
    </rPh>
    <rPh sb="20" eb="22">
      <t>バアイ</t>
    </rPh>
    <rPh sb="25" eb="27">
      <t>ムショク</t>
    </rPh>
    <rPh sb="28" eb="30">
      <t>バアイ</t>
    </rPh>
    <rPh sb="32" eb="34">
      <t>ムショク</t>
    </rPh>
    <rPh sb="36" eb="38">
      <t>ニュウリョク</t>
    </rPh>
    <rPh sb="40" eb="41">
      <t>クダ</t>
    </rPh>
    <phoneticPr fontId="1"/>
  </si>
  <si>
    <t>3．経験値管理表</t>
    <rPh sb="2" eb="5">
      <t>ケイケンチ</t>
    </rPh>
    <rPh sb="5" eb="7">
      <t>カンリ</t>
    </rPh>
    <rPh sb="7" eb="8">
      <t>ヒョウ</t>
    </rPh>
    <phoneticPr fontId="1"/>
  </si>
  <si>
    <t>獲得経験値に応じて，各キャラのLvが現在いくつであるかを分り易くするためのシートです．</t>
    <rPh sb="0" eb="2">
      <t>カクトク</t>
    </rPh>
    <rPh sb="2" eb="5">
      <t>ケイケンチ</t>
    </rPh>
    <rPh sb="6" eb="7">
      <t>オウ</t>
    </rPh>
    <rPh sb="10" eb="11">
      <t>カク</t>
    </rPh>
    <rPh sb="18" eb="20">
      <t>ゲンザイ</t>
    </rPh>
    <rPh sb="28" eb="29">
      <t>ワカ</t>
    </rPh>
    <rPh sb="30" eb="31">
      <t>ヤス</t>
    </rPh>
    <phoneticPr fontId="1"/>
  </si>
  <si>
    <t>「Prev」は，現在のLvに対する余剰取得経験値を示しています．</t>
    <rPh sb="8" eb="10">
      <t>ゲンザイ</t>
    </rPh>
    <rPh sb="14" eb="15">
      <t>タイ</t>
    </rPh>
    <rPh sb="17" eb="19">
      <t>ヨジョウ</t>
    </rPh>
    <rPh sb="19" eb="21">
      <t>シュトク</t>
    </rPh>
    <rPh sb="21" eb="24">
      <t>ケイケンチ</t>
    </rPh>
    <rPh sb="25" eb="26">
      <t>シメ</t>
    </rPh>
    <phoneticPr fontId="1"/>
  </si>
  <si>
    <t>「Next」は，次のLvに達するために必要な経験値を示しています．</t>
    <rPh sb="8" eb="9">
      <t>ツギ</t>
    </rPh>
    <rPh sb="13" eb="14">
      <t>タッ</t>
    </rPh>
    <rPh sb="19" eb="21">
      <t>ヒツヨウ</t>
    </rPh>
    <rPh sb="22" eb="25">
      <t>ケイケンチ</t>
    </rPh>
    <rPh sb="26" eb="27">
      <t>シメ</t>
    </rPh>
    <phoneticPr fontId="1"/>
  </si>
  <si>
    <t>「獲」は，経験値を取得するのであれば「○」を，取得しないのであれば空白を入力してください．</t>
    <rPh sb="1" eb="2">
      <t>エル</t>
    </rPh>
    <rPh sb="5" eb="8">
      <t>ケイケンチ</t>
    </rPh>
    <rPh sb="9" eb="11">
      <t>シュトク</t>
    </rPh>
    <rPh sb="23" eb="25">
      <t>シュトク</t>
    </rPh>
    <rPh sb="33" eb="35">
      <t>クウハク</t>
    </rPh>
    <rPh sb="36" eb="38">
      <t>ニュウリョク</t>
    </rPh>
    <phoneticPr fontId="1"/>
  </si>
  <si>
    <t>基本的には，ボスの名前を入力すれば，自動で獲得経験値が入力されます．</t>
    <rPh sb="0" eb="3">
      <t>キホンテキ</t>
    </rPh>
    <rPh sb="9" eb="11">
      <t>ナマエ</t>
    </rPh>
    <rPh sb="12" eb="14">
      <t>ニュウリョク</t>
    </rPh>
    <rPh sb="18" eb="20">
      <t>ジドウ</t>
    </rPh>
    <rPh sb="21" eb="23">
      <t>カクトク</t>
    </rPh>
    <rPh sb="23" eb="26">
      <t>ケイケンチ</t>
    </rPh>
    <rPh sb="27" eb="29">
      <t>ニュウリョク</t>
    </rPh>
    <phoneticPr fontId="1"/>
  </si>
  <si>
    <t>熟練度稼ぎなど，任意で値を指定したい場合は，経験値のセルに入力して下さい．</t>
    <rPh sb="0" eb="3">
      <t>ジュクレンド</t>
    </rPh>
    <rPh sb="3" eb="4">
      <t>カセ</t>
    </rPh>
    <rPh sb="8" eb="10">
      <t>ニンイ</t>
    </rPh>
    <rPh sb="11" eb="12">
      <t>アタイ</t>
    </rPh>
    <rPh sb="13" eb="15">
      <t>シテイ</t>
    </rPh>
    <rPh sb="18" eb="20">
      <t>バアイ</t>
    </rPh>
    <rPh sb="22" eb="25">
      <t>ケイケンチ</t>
    </rPh>
    <rPh sb="29" eb="31">
      <t>ニュウリョク</t>
    </rPh>
    <rPh sb="33" eb="34">
      <t>クダ</t>
    </rPh>
    <phoneticPr fontId="1"/>
  </si>
  <si>
    <t>◆改造・二次配布について</t>
    <rPh sb="1" eb="3">
      <t>カイゾウ</t>
    </rPh>
    <rPh sb="4" eb="6">
      <t>ニジ</t>
    </rPh>
    <rPh sb="6" eb="8">
      <t>ハイフ</t>
    </rPh>
    <phoneticPr fontId="1"/>
  </si>
  <si>
    <t>個人で改造しての使用は，自由に行っていただいて構いません．</t>
    <rPh sb="0" eb="2">
      <t>コジン</t>
    </rPh>
    <rPh sb="3" eb="5">
      <t>カイゾウ</t>
    </rPh>
    <rPh sb="8" eb="10">
      <t>シヨウ</t>
    </rPh>
    <rPh sb="12" eb="14">
      <t>ジユウ</t>
    </rPh>
    <rPh sb="15" eb="16">
      <t>オコナ</t>
    </rPh>
    <rPh sb="23" eb="24">
      <t>カマ</t>
    </rPh>
    <phoneticPr fontId="1"/>
  </si>
  <si>
    <t>非表示としているシートが多数あるため，興味がある方はそちらを覗いていただければと思います．</t>
    <rPh sb="0" eb="3">
      <t>ヒヒョウジ</t>
    </rPh>
    <rPh sb="12" eb="14">
      <t>タスウ</t>
    </rPh>
    <rPh sb="19" eb="21">
      <t>キョウミ</t>
    </rPh>
    <rPh sb="24" eb="25">
      <t>カタ</t>
    </rPh>
    <rPh sb="30" eb="31">
      <t>ノゾ</t>
    </rPh>
    <rPh sb="40" eb="41">
      <t>オモ</t>
    </rPh>
    <phoneticPr fontId="1"/>
  </si>
  <si>
    <t>ただし，動作しなくなった場合の責任は負いかねます．自己責任でお願いします．</t>
    <rPh sb="4" eb="6">
      <t>ドウサ</t>
    </rPh>
    <rPh sb="12" eb="14">
      <t>バアイ</t>
    </rPh>
    <rPh sb="15" eb="17">
      <t>セキニン</t>
    </rPh>
    <rPh sb="18" eb="19">
      <t>オ</t>
    </rPh>
    <rPh sb="25" eb="27">
      <t>ジコ</t>
    </rPh>
    <rPh sb="27" eb="29">
      <t>セキニン</t>
    </rPh>
    <rPh sb="31" eb="32">
      <t>ネガ</t>
    </rPh>
    <phoneticPr fontId="1"/>
  </si>
  <si>
    <t>Web上に公開してありますので，そちらを教えてあげてください．</t>
    <rPh sb="3" eb="4">
      <t>ジョウ</t>
    </rPh>
    <rPh sb="5" eb="7">
      <t>コウカイ</t>
    </rPh>
    <rPh sb="20" eb="21">
      <t>オシ</t>
    </rPh>
    <phoneticPr fontId="1"/>
  </si>
  <si>
    <t>二次配布についてはやめて頂くようお願いします．</t>
    <rPh sb="0" eb="2">
      <t>ニジ</t>
    </rPh>
    <rPh sb="2" eb="4">
      <t>ハイフ</t>
    </rPh>
    <rPh sb="12" eb="13">
      <t>イタダ</t>
    </rPh>
    <rPh sb="17" eb="18">
      <t>ネガ</t>
    </rPh>
    <phoneticPr fontId="1"/>
  </si>
  <si>
    <t>◆謝辞</t>
    <rPh sb="1" eb="3">
      <t>シャジ</t>
    </rPh>
    <phoneticPr fontId="1"/>
  </si>
  <si>
    <t>本計算機を作成するにあたり，以下の文献を参考にさせて頂きました．</t>
    <rPh sb="0" eb="1">
      <t>ホン</t>
    </rPh>
    <rPh sb="1" eb="4">
      <t>ケイサンキ</t>
    </rPh>
    <rPh sb="5" eb="7">
      <t>サクセイ</t>
    </rPh>
    <rPh sb="14" eb="16">
      <t>イカ</t>
    </rPh>
    <rPh sb="17" eb="19">
      <t>ブンケン</t>
    </rPh>
    <rPh sb="20" eb="22">
      <t>サンコウ</t>
    </rPh>
    <rPh sb="26" eb="27">
      <t>イタダ</t>
    </rPh>
    <phoneticPr fontId="1"/>
  </si>
  <si>
    <t>◆参考文献</t>
    <rPh sb="1" eb="3">
      <t>サンコウ</t>
    </rPh>
    <rPh sb="3" eb="5">
      <t>ブンケン</t>
    </rPh>
    <phoneticPr fontId="1"/>
  </si>
  <si>
    <t>1．Sword and Magic</t>
    <phoneticPr fontId="1"/>
  </si>
  <si>
    <t>-</t>
    <phoneticPr fontId="1"/>
  </si>
  <si>
    <t>http://www5f.biglobe.ne.jp/~aba/dq.html</t>
    <phoneticPr fontId="1"/>
  </si>
  <si>
    <t>2．ドラゴンクエスト６を究める</t>
    <rPh sb="12" eb="13">
      <t>キワ</t>
    </rPh>
    <phoneticPr fontId="1"/>
  </si>
  <si>
    <t>-</t>
    <phoneticPr fontId="1"/>
  </si>
  <si>
    <t>http://marine.yu.to/DQ6/index.html</t>
    <phoneticPr fontId="1"/>
  </si>
  <si>
    <t>各種データを参考にさせて頂きました．</t>
    <rPh sb="0" eb="2">
      <t>カクシュ</t>
    </rPh>
    <rPh sb="6" eb="8">
      <t>サンコウ</t>
    </rPh>
    <rPh sb="12" eb="13">
      <t>イタダ</t>
    </rPh>
    <phoneticPr fontId="1"/>
  </si>
  <si>
    <t>特に，「ドラゴンクエスト６を究める」に記載されているダメージ計算には助けられたと考えます．</t>
    <rPh sb="0" eb="1">
      <t>トク</t>
    </rPh>
    <rPh sb="14" eb="15">
      <t>キワ</t>
    </rPh>
    <rPh sb="19" eb="21">
      <t>キサイ</t>
    </rPh>
    <rPh sb="30" eb="32">
      <t>ケイサン</t>
    </rPh>
    <rPh sb="34" eb="35">
      <t>タス</t>
    </rPh>
    <rPh sb="40" eb="41">
      <t>カンガ</t>
    </rPh>
    <phoneticPr fontId="1"/>
  </si>
  <si>
    <t>腹黒パンダさん</t>
    <rPh sb="0" eb="1">
      <t>ハラ</t>
    </rPh>
    <rPh sb="1" eb="2">
      <t>グロ</t>
    </rPh>
    <phoneticPr fontId="1"/>
  </si>
  <si>
    <t>http://harapan.exblog.jp/</t>
    <phoneticPr fontId="1"/>
  </si>
  <si>
    <t>本計算機は，腹黒パンダさんが作成したドラゴンクエスト7の計算機が土台となって作られています．</t>
    <rPh sb="0" eb="1">
      <t>ホン</t>
    </rPh>
    <rPh sb="1" eb="4">
      <t>ケイサンキ</t>
    </rPh>
    <rPh sb="6" eb="7">
      <t>ハラ</t>
    </rPh>
    <rPh sb="7" eb="8">
      <t>グロ</t>
    </rPh>
    <rPh sb="14" eb="16">
      <t>サクセイ</t>
    </rPh>
    <rPh sb="28" eb="31">
      <t>ケイサンキ</t>
    </rPh>
    <rPh sb="32" eb="34">
      <t>ドダイ</t>
    </rPh>
    <rPh sb="38" eb="39">
      <t>ツク</t>
    </rPh>
    <phoneticPr fontId="1"/>
  </si>
  <si>
    <t>本計算機内で使用している仕様や関数など，流用できる部分は使用させていただきました．</t>
    <rPh sb="0" eb="1">
      <t>ホン</t>
    </rPh>
    <rPh sb="1" eb="4">
      <t>ケイサンキ</t>
    </rPh>
    <rPh sb="4" eb="5">
      <t>ナイ</t>
    </rPh>
    <rPh sb="6" eb="8">
      <t>シヨウ</t>
    </rPh>
    <rPh sb="12" eb="14">
      <t>シヨウ</t>
    </rPh>
    <rPh sb="15" eb="17">
      <t>カンスウ</t>
    </rPh>
    <rPh sb="20" eb="22">
      <t>リュウヨウ</t>
    </rPh>
    <rPh sb="25" eb="27">
      <t>ブブン</t>
    </rPh>
    <rPh sb="28" eb="30">
      <t>シヨウ</t>
    </rPh>
    <phoneticPr fontId="1"/>
  </si>
  <si>
    <t>この場を借りて感謝申し上げます．ありがとうございました．</t>
    <rPh sb="2" eb="3">
      <t>バ</t>
    </rPh>
    <rPh sb="4" eb="5">
      <t>カ</t>
    </rPh>
    <rPh sb="7" eb="9">
      <t>カンシャ</t>
    </rPh>
    <rPh sb="9" eb="10">
      <t>モウ</t>
    </rPh>
    <rPh sb="11" eb="12">
      <t>ア</t>
    </rPh>
    <phoneticPr fontId="1"/>
  </si>
  <si>
    <t>◆その他</t>
    <rPh sb="3" eb="4">
      <t>タ</t>
    </rPh>
    <phoneticPr fontId="1"/>
  </si>
  <si>
    <t>1．ドラゴンキラー，はやぶさのけんなどの特殊武器に対する計算</t>
    <rPh sb="20" eb="22">
      <t>トクシュ</t>
    </rPh>
    <rPh sb="22" eb="24">
      <t>ブキ</t>
    </rPh>
    <rPh sb="25" eb="26">
      <t>タイ</t>
    </rPh>
    <rPh sb="28" eb="30">
      <t>ケイサン</t>
    </rPh>
    <phoneticPr fontId="1"/>
  </si>
  <si>
    <t>2．飛び膝蹴り，ゾンビ斬りなど，敵の属性に応じて威力が変化する特技（現在，飛び膝蹴りは1.5倍としてあります）</t>
    <rPh sb="2" eb="3">
      <t>ト</t>
    </rPh>
    <rPh sb="4" eb="6">
      <t>ヒザゲ</t>
    </rPh>
    <rPh sb="11" eb="12">
      <t>ギ</t>
    </rPh>
    <rPh sb="16" eb="17">
      <t>テキ</t>
    </rPh>
    <rPh sb="18" eb="20">
      <t>ゾクセイ</t>
    </rPh>
    <rPh sb="21" eb="22">
      <t>オウ</t>
    </rPh>
    <rPh sb="24" eb="26">
      <t>イリョク</t>
    </rPh>
    <rPh sb="27" eb="29">
      <t>ヘンカ</t>
    </rPh>
    <rPh sb="31" eb="33">
      <t>トクギ</t>
    </rPh>
    <rPh sb="34" eb="36">
      <t>ゲンザイ</t>
    </rPh>
    <rPh sb="37" eb="38">
      <t>ト</t>
    </rPh>
    <rPh sb="39" eb="41">
      <t>ヒザゲ</t>
    </rPh>
    <rPh sb="46" eb="47">
      <t>バイ</t>
    </rPh>
    <phoneticPr fontId="1"/>
  </si>
  <si>
    <t>ドラゴンクエスト6における全てのデータを扱っているわけではありません．</t>
    <rPh sb="13" eb="14">
      <t>スベ</t>
    </rPh>
    <rPh sb="20" eb="21">
      <t>アツカ</t>
    </rPh>
    <phoneticPr fontId="1"/>
  </si>
  <si>
    <t>基本的には，RTAで使用するであろうデータを取り込んでいます．（フバーハなど使わないですが…．笑）</t>
    <rPh sb="0" eb="3">
      <t>キホンテキ</t>
    </rPh>
    <rPh sb="10" eb="12">
      <t>シヨウ</t>
    </rPh>
    <rPh sb="22" eb="23">
      <t>ト</t>
    </rPh>
    <rPh sb="24" eb="25">
      <t>コ</t>
    </rPh>
    <rPh sb="38" eb="39">
      <t>ツカ</t>
    </rPh>
    <rPh sb="47" eb="48">
      <t>ワラ</t>
    </rPh>
    <phoneticPr fontId="1"/>
  </si>
  <si>
    <t>なお，以下の内容には未対応となっています．</t>
    <rPh sb="3" eb="5">
      <t>イカ</t>
    </rPh>
    <rPh sb="6" eb="8">
      <t>ナイヨウ</t>
    </rPh>
    <rPh sb="10" eb="13">
      <t>ミタイオウ</t>
    </rPh>
    <phoneticPr fontId="1"/>
  </si>
  <si>
    <t>3．複数攻撃に対するバイキルト・気合ための効果が重複しない</t>
    <rPh sb="2" eb="4">
      <t>フクスウ</t>
    </rPh>
    <rPh sb="4" eb="6">
      <t>コウゲキ</t>
    </rPh>
    <rPh sb="7" eb="8">
      <t>タイ</t>
    </rPh>
    <rPh sb="16" eb="18">
      <t>キアイ</t>
    </rPh>
    <rPh sb="21" eb="23">
      <t>コウカ</t>
    </rPh>
    <rPh sb="24" eb="26">
      <t>ジュウフク</t>
    </rPh>
    <phoneticPr fontId="1"/>
  </si>
  <si>
    <t>なお，計算結果がゲーム内で実際に生じる値と完全に一致することは保障するものではありません．</t>
    <rPh sb="3" eb="5">
      <t>ケイサン</t>
    </rPh>
    <rPh sb="5" eb="7">
      <t>ケッカ</t>
    </rPh>
    <rPh sb="11" eb="12">
      <t>ナイ</t>
    </rPh>
    <rPh sb="13" eb="15">
      <t>ジッサイ</t>
    </rPh>
    <rPh sb="16" eb="17">
      <t>ショウ</t>
    </rPh>
    <rPh sb="19" eb="20">
      <t>アタイ</t>
    </rPh>
    <rPh sb="21" eb="23">
      <t>カンゼン</t>
    </rPh>
    <rPh sb="24" eb="26">
      <t>イッチ</t>
    </rPh>
    <rPh sb="31" eb="33">
      <t>ホショウ</t>
    </rPh>
    <phoneticPr fontId="1"/>
  </si>
  <si>
    <t>各計算を楽にするための補助的なツールという位置づけで考えて頂ければと思います．</t>
    <rPh sb="0" eb="1">
      <t>カク</t>
    </rPh>
    <rPh sb="1" eb="3">
      <t>ケイサン</t>
    </rPh>
    <rPh sb="4" eb="5">
      <t>ラク</t>
    </rPh>
    <rPh sb="11" eb="13">
      <t>ホジョ</t>
    </rPh>
    <rPh sb="13" eb="14">
      <t>テキ</t>
    </rPh>
    <rPh sb="21" eb="23">
      <t>イチ</t>
    </rPh>
    <rPh sb="26" eb="27">
      <t>カンガ</t>
    </rPh>
    <rPh sb="29" eb="30">
      <t>イタダ</t>
    </rPh>
    <rPh sb="34" eb="35">
      <t>オモ</t>
    </rPh>
    <phoneticPr fontId="1"/>
  </si>
  <si>
    <t>バグ報告，感想，その他諸々何かありましたら，下記ブログにコメントいただければと思います．</t>
    <rPh sb="2" eb="4">
      <t>ホウコク</t>
    </rPh>
    <rPh sb="5" eb="7">
      <t>カンソウ</t>
    </rPh>
    <rPh sb="10" eb="11">
      <t>タ</t>
    </rPh>
    <rPh sb="11" eb="13">
      <t>モロモロ</t>
    </rPh>
    <rPh sb="13" eb="14">
      <t>ナニ</t>
    </rPh>
    <rPh sb="22" eb="24">
      <t>カキ</t>
    </rPh>
    <rPh sb="39" eb="40">
      <t>オモ</t>
    </rPh>
    <phoneticPr fontId="1"/>
  </si>
  <si>
    <t>作成者：くねお</t>
    <rPh sb="0" eb="3">
      <t>サクセイシャ</t>
    </rPh>
    <phoneticPr fontId="1"/>
  </si>
  <si>
    <t>http://kuneo.blog52.fc2.com/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</si>
</sst>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_);[Red]\(0.000\)"/>
    <numFmt numFmtId="177" formatCode="0.000_ "/>
    <numFmt numFmtId="178" formatCode="0.00_);[Red]\(0.00\)"/>
    <numFmt numFmtId="179" formatCode="0.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0"/>
      <name val="ＭＳ Ｐゴシック"/>
      <family val="3"/>
      <charset val="128"/>
      <scheme val="minor"/>
    </font>
    <font>
      <b/>
      <sz val="11"/>
      <color theme="0"/>
      <name val="ＭＳ Ｐゴシック"/>
      <family val="3"/>
      <charset val="128"/>
      <scheme val="minor"/>
    </font>
    <font>
      <b/>
      <sz val="12"/>
      <color theme="0"/>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8"/>
      <color theme="0"/>
      <name val="ＭＳ Ｐゴシック"/>
      <family val="3"/>
      <charset val="128"/>
      <scheme val="minor"/>
    </font>
    <font>
      <b/>
      <sz val="8"/>
      <color theme="1"/>
      <name val="ＭＳ Ｐゴシック"/>
      <family val="3"/>
      <charset val="128"/>
      <scheme val="minor"/>
    </font>
    <font>
      <sz val="8"/>
      <color theme="1"/>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9"/>
      <color theme="0"/>
      <name val="ＭＳ Ｐゴシック"/>
      <family val="2"/>
      <charset val="128"/>
      <scheme val="minor"/>
    </font>
    <font>
      <b/>
      <sz val="14"/>
      <color theme="0"/>
      <name val="ＭＳ Ｐゴシック"/>
      <family val="3"/>
      <charset val="128"/>
      <scheme val="minor"/>
    </font>
    <font>
      <u/>
      <sz val="11"/>
      <color theme="10"/>
      <name val="ＭＳ Ｐゴシック"/>
      <family val="2"/>
      <charset val="128"/>
      <scheme val="minor"/>
    </font>
    <font>
      <u/>
      <sz val="9"/>
      <color theme="10"/>
      <name val="ＭＳ Ｐゴシック"/>
      <family val="2"/>
      <charset val="128"/>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s>
  <borders count="109">
    <border>
      <left/>
      <right/>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4.9989318521683403E-2"/>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4.9989318521683403E-2"/>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style="thin">
        <color auto="1"/>
      </right>
      <top/>
      <bottom/>
      <diagonal/>
    </border>
    <border>
      <left style="thin">
        <color auto="1"/>
      </left>
      <right style="thin">
        <color theme="0" tint="-4.9989318521683403E-2"/>
      </right>
      <top/>
      <bottom/>
      <diagonal/>
    </border>
    <border>
      <left style="thin">
        <color theme="0" tint="-4.9989318521683403E-2"/>
      </left>
      <right style="thin">
        <color auto="1"/>
      </right>
      <top/>
      <bottom style="thin">
        <color auto="1"/>
      </bottom>
      <diagonal/>
    </border>
    <border>
      <left style="thin">
        <color auto="1"/>
      </left>
      <right style="thin">
        <color theme="0" tint="-4.9989318521683403E-2"/>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theme="0"/>
      </right>
      <top/>
      <bottom/>
      <diagonal/>
    </border>
    <border>
      <left style="thin">
        <color theme="0"/>
      </left>
      <right/>
      <top/>
      <bottom/>
      <diagonal/>
    </border>
    <border>
      <left/>
      <right style="thin">
        <color auto="1"/>
      </right>
      <top/>
      <bottom/>
      <diagonal/>
    </border>
    <border>
      <left style="thin">
        <color auto="1"/>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1"/>
      </right>
      <top style="thin">
        <color theme="0"/>
      </top>
      <bottom/>
      <diagonal/>
    </border>
    <border>
      <left style="thin">
        <color theme="1"/>
      </left>
      <right style="thin">
        <color theme="1"/>
      </right>
      <top style="thin">
        <color theme="0"/>
      </top>
      <bottom/>
      <diagonal/>
    </border>
    <border>
      <left style="thin">
        <color theme="1"/>
      </left>
      <right style="thin">
        <color theme="0"/>
      </right>
      <top style="thin">
        <color theme="0"/>
      </top>
      <bottom/>
      <diagonal/>
    </border>
    <border>
      <left style="thin">
        <color theme="0"/>
      </left>
      <right style="thin">
        <color theme="1"/>
      </right>
      <top/>
      <bottom/>
      <diagonal/>
    </border>
    <border>
      <left style="thin">
        <color theme="1"/>
      </left>
      <right style="thin">
        <color theme="1"/>
      </right>
      <top/>
      <bottom/>
      <diagonal/>
    </border>
    <border>
      <left style="thin">
        <color theme="1"/>
      </left>
      <right style="thin">
        <color theme="0"/>
      </right>
      <top/>
      <bottom/>
      <diagonal/>
    </border>
    <border>
      <left style="thin">
        <color theme="0"/>
      </left>
      <right style="thin">
        <color theme="1"/>
      </right>
      <top/>
      <bottom style="thin">
        <color theme="0"/>
      </bottom>
      <diagonal/>
    </border>
    <border>
      <left style="thin">
        <color theme="1"/>
      </left>
      <right style="thin">
        <color theme="1"/>
      </right>
      <top/>
      <bottom style="thin">
        <color theme="0"/>
      </bottom>
      <diagonal/>
    </border>
    <border>
      <left style="thin">
        <color theme="1"/>
      </left>
      <right style="thin">
        <color theme="0"/>
      </right>
      <top/>
      <bottom style="thin">
        <color theme="0"/>
      </bottom>
      <diagonal/>
    </border>
    <border>
      <left style="thin">
        <color theme="1"/>
      </left>
      <right style="thin">
        <color theme="1"/>
      </right>
      <top style="thin">
        <color theme="0"/>
      </top>
      <bottom style="thin">
        <color theme="1"/>
      </bottom>
      <diagonal/>
    </border>
    <border>
      <left style="thin">
        <color theme="1"/>
      </left>
      <right style="thin">
        <color theme="0"/>
      </right>
      <top style="thin">
        <color theme="0"/>
      </top>
      <bottom style="thin">
        <color theme="1"/>
      </bottom>
      <diagonal/>
    </border>
    <border>
      <left style="thin">
        <color theme="1"/>
      </left>
      <right style="thin">
        <color theme="1"/>
      </right>
      <top style="thin">
        <color theme="1"/>
      </top>
      <bottom style="thin">
        <color theme="0"/>
      </bottom>
      <diagonal/>
    </border>
    <border>
      <left style="thin">
        <color theme="1"/>
      </left>
      <right style="thin">
        <color theme="0"/>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0"/>
      </left>
      <right style="thin">
        <color auto="1"/>
      </right>
      <top/>
      <bottom/>
      <diagonal/>
    </border>
    <border>
      <left style="thin">
        <color auto="1"/>
      </left>
      <right style="thin">
        <color theme="0"/>
      </right>
      <top/>
      <bottom/>
      <diagonal/>
    </border>
    <border>
      <left style="thin">
        <color theme="0"/>
      </left>
      <right style="thin">
        <color auto="1"/>
      </right>
      <top/>
      <bottom style="thin">
        <color theme="0"/>
      </bottom>
      <diagonal/>
    </border>
    <border>
      <left style="thin">
        <color auto="1"/>
      </left>
      <right style="thin">
        <color theme="0"/>
      </right>
      <top/>
      <bottom style="thin">
        <color theme="0"/>
      </bottom>
      <diagonal/>
    </border>
    <border>
      <left/>
      <right/>
      <top/>
      <bottom style="thin">
        <color theme="0"/>
      </bottom>
      <diagonal/>
    </border>
    <border>
      <left/>
      <right style="thin">
        <color theme="1"/>
      </right>
      <top style="thin">
        <color theme="0"/>
      </top>
      <bottom/>
      <diagonal/>
    </border>
    <border>
      <left/>
      <right style="thin">
        <color theme="1"/>
      </right>
      <top/>
      <bottom/>
      <diagonal/>
    </border>
    <border>
      <left style="thin">
        <color theme="0"/>
      </left>
      <right style="thin">
        <color theme="1"/>
      </right>
      <top style="thin">
        <color theme="1"/>
      </top>
      <bottom/>
      <diagonal/>
    </border>
    <border>
      <left style="thin">
        <color theme="0"/>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0"/>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theme="0"/>
      </right>
      <top style="thin">
        <color auto="1"/>
      </top>
      <bottom/>
      <diagonal/>
    </border>
    <border>
      <left style="thin">
        <color theme="0"/>
      </left>
      <right/>
      <top style="thin">
        <color auto="1"/>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auto="1"/>
      </right>
      <top style="thin">
        <color theme="0"/>
      </top>
      <bottom/>
      <diagonal/>
    </border>
    <border>
      <left style="thin">
        <color auto="1"/>
      </left>
      <right style="thin">
        <color theme="0"/>
      </right>
      <top style="thin">
        <color theme="0"/>
      </top>
      <bottom/>
      <diagonal/>
    </border>
    <border>
      <left style="thin">
        <color theme="1"/>
      </left>
      <right/>
      <top/>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1"/>
      </left>
      <right/>
      <top/>
      <bottom style="thin">
        <color theme="0"/>
      </bottom>
      <diagonal/>
    </border>
    <border>
      <left/>
      <right style="thin">
        <color theme="1"/>
      </right>
      <top/>
      <bottom style="thin">
        <color theme="0"/>
      </bottom>
      <diagonal/>
    </border>
    <border>
      <left/>
      <right style="thin">
        <color theme="1"/>
      </right>
      <top style="thin">
        <color theme="0"/>
      </top>
      <bottom style="thin">
        <color theme="0"/>
      </bottom>
      <diagonal/>
    </border>
    <border>
      <left style="thin">
        <color auto="1"/>
      </left>
      <right style="thin">
        <color auto="1"/>
      </right>
      <top style="thin">
        <color theme="0"/>
      </top>
      <bottom style="thin">
        <color theme="0"/>
      </bottom>
      <diagonal/>
    </border>
    <border>
      <left style="thin">
        <color theme="1"/>
      </left>
      <right/>
      <top style="thin">
        <color theme="0"/>
      </top>
      <bottom/>
      <diagonal/>
    </border>
    <border>
      <left/>
      <right style="thin">
        <color theme="0"/>
      </right>
      <top style="thin">
        <color theme="0"/>
      </top>
      <bottom/>
      <diagonal/>
    </border>
    <border>
      <left style="thin">
        <color theme="1"/>
      </left>
      <right/>
      <top style="thin">
        <color theme="0"/>
      </top>
      <bottom style="thin">
        <color theme="0"/>
      </bottom>
      <diagonal/>
    </border>
    <border>
      <left/>
      <right style="thin">
        <color theme="1"/>
      </right>
      <top style="thin">
        <color theme="1"/>
      </top>
      <bottom/>
      <diagonal/>
    </border>
    <border>
      <left style="thin">
        <color theme="0"/>
      </left>
      <right/>
      <top style="thin">
        <color theme="0"/>
      </top>
      <bottom style="thin">
        <color theme="1"/>
      </bottom>
      <diagonal/>
    </border>
    <border>
      <left/>
      <right style="thin">
        <color theme="0"/>
      </right>
      <top style="thin">
        <color theme="0"/>
      </top>
      <bottom style="thin">
        <color theme="1"/>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1"/>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1"/>
      </right>
      <top style="thin">
        <color theme="0"/>
      </top>
      <bottom style="thin">
        <color theme="0"/>
      </bottom>
      <diagonal/>
    </border>
    <border>
      <left style="thin">
        <color theme="0"/>
      </left>
      <right style="thin">
        <color theme="0"/>
      </right>
      <top style="thin">
        <color theme="0"/>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1"/>
      </left>
      <right style="thin">
        <color theme="0"/>
      </right>
      <top style="thin">
        <color theme="1"/>
      </top>
      <bottom/>
      <diagonal/>
    </border>
    <border>
      <left style="thin">
        <color theme="1"/>
      </left>
      <right style="thin">
        <color theme="0"/>
      </right>
      <top/>
      <bottom style="thin">
        <color theme="1"/>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bottom style="thin">
        <color theme="0"/>
      </bottom>
      <diagonal/>
    </border>
    <border>
      <left style="thin">
        <color theme="1"/>
      </left>
      <right style="thin">
        <color indexed="64"/>
      </right>
      <top/>
      <bottom style="thin">
        <color theme="0"/>
      </bottom>
      <diagonal/>
    </border>
    <border>
      <left style="thin">
        <color indexed="64"/>
      </left>
      <right style="thin">
        <color theme="1"/>
      </right>
      <top style="thin">
        <color theme="0"/>
      </top>
      <bottom style="thin">
        <color theme="0"/>
      </bottom>
      <diagonal/>
    </border>
    <border>
      <left style="thin">
        <color theme="1"/>
      </left>
      <right style="thin">
        <color indexed="64"/>
      </right>
      <top style="thin">
        <color theme="0"/>
      </top>
      <bottom style="thin">
        <color theme="0"/>
      </bottom>
      <diagonal/>
    </border>
    <border>
      <left style="thin">
        <color indexed="64"/>
      </left>
      <right style="thin">
        <color theme="1"/>
      </right>
      <top style="thin">
        <color theme="0"/>
      </top>
      <bottom style="thin">
        <color indexed="64"/>
      </bottom>
      <diagonal/>
    </border>
    <border>
      <left style="thin">
        <color theme="1"/>
      </left>
      <right style="thin">
        <color theme="1"/>
      </right>
      <top style="thin">
        <color theme="0"/>
      </top>
      <bottom style="thin">
        <color indexed="64"/>
      </bottom>
      <diagonal/>
    </border>
    <border>
      <left style="thin">
        <color theme="1"/>
      </left>
      <right style="thin">
        <color indexed="64"/>
      </right>
      <top style="thin">
        <color theme="0"/>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16">
    <xf numFmtId="0" fontId="0" fillId="0" borderId="0" xfId="0">
      <alignmen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7" borderId="21"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7" xfId="0" quotePrefix="1"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3" fillId="2" borderId="23" xfId="0" applyFont="1" applyFill="1" applyBorder="1" applyAlignment="1">
      <alignment horizontal="center" vertical="center"/>
    </xf>
    <xf numFmtId="9" fontId="2" fillId="3" borderId="39" xfId="0" applyNumberFormat="1" applyFont="1" applyFill="1" applyBorder="1" applyAlignment="1">
      <alignment horizontal="center" vertical="center"/>
    </xf>
    <xf numFmtId="9" fontId="2" fillId="3" borderId="41" xfId="0" applyNumberFormat="1" applyFont="1" applyFill="1" applyBorder="1" applyAlignment="1">
      <alignment horizontal="center" vertical="center"/>
    </xf>
    <xf numFmtId="176" fontId="2" fillId="3" borderId="2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3" borderId="28" xfId="0" applyNumberFormat="1" applyFont="1" applyFill="1" applyBorder="1" applyAlignment="1">
      <alignment horizontal="center" vertical="center"/>
    </xf>
    <xf numFmtId="176" fontId="2" fillId="3" borderId="29" xfId="0" applyNumberFormat="1" applyFont="1" applyFill="1" applyBorder="1" applyAlignment="1">
      <alignment horizontal="center" vertical="center"/>
    </xf>
    <xf numFmtId="176" fontId="2" fillId="3" borderId="31" xfId="0" applyNumberFormat="1" applyFont="1" applyFill="1" applyBorder="1" applyAlignment="1">
      <alignment horizontal="center" vertical="center"/>
    </xf>
    <xf numFmtId="176" fontId="2" fillId="3" borderId="32" xfId="0" applyNumberFormat="1" applyFont="1" applyFill="1" applyBorder="1" applyAlignment="1">
      <alignment horizontal="center" vertical="center"/>
    </xf>
    <xf numFmtId="177" fontId="2" fillId="3" borderId="40" xfId="0" applyNumberFormat="1" applyFont="1" applyFill="1" applyBorder="1" applyAlignment="1">
      <alignment horizontal="center" vertical="center"/>
    </xf>
    <xf numFmtId="177" fontId="2" fillId="3" borderId="42" xfId="0" applyNumberFormat="1" applyFont="1" applyFill="1" applyBorder="1" applyAlignment="1">
      <alignment horizontal="center" vertical="center"/>
    </xf>
    <xf numFmtId="0" fontId="9" fillId="2" borderId="23" xfId="0" applyFont="1" applyFill="1" applyBorder="1" applyAlignment="1">
      <alignment horizontal="center" vertical="center"/>
    </xf>
    <xf numFmtId="0" fontId="10" fillId="7" borderId="23" xfId="0" applyFont="1" applyFill="1" applyBorder="1" applyAlignment="1">
      <alignment horizontal="center" vertical="center"/>
    </xf>
    <xf numFmtId="0" fontId="10" fillId="6" borderId="23" xfId="0" applyFont="1" applyFill="1" applyBorder="1" applyAlignment="1">
      <alignment horizontal="center" vertical="center"/>
    </xf>
    <xf numFmtId="0" fontId="10" fillId="4" borderId="23"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3" fillId="2" borderId="5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7" fillId="7" borderId="2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7" fillId="5"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6" fillId="3" borderId="61" xfId="0" applyFont="1" applyFill="1" applyBorder="1" applyAlignment="1">
      <alignment horizontal="center" vertical="center" shrinkToFit="1"/>
    </xf>
    <xf numFmtId="0" fontId="6" fillId="3" borderId="62" xfId="0" applyFont="1" applyFill="1" applyBorder="1" applyAlignment="1">
      <alignment horizontal="center" vertical="center" shrinkToFit="1"/>
    </xf>
    <xf numFmtId="0" fontId="6" fillId="2" borderId="0" xfId="0" applyFont="1" applyFill="1" applyBorder="1" applyAlignment="1">
      <alignment vertical="center" shrinkToFit="1"/>
    </xf>
    <xf numFmtId="0" fontId="6" fillId="3" borderId="28"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7" fillId="5" borderId="23"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6" fillId="3" borderId="69"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7" fillId="7" borderId="22" xfId="0" applyFont="1" applyFill="1" applyBorder="1" applyAlignment="1">
      <alignment horizontal="center" vertical="center" shrinkToFit="1"/>
    </xf>
    <xf numFmtId="0" fontId="11" fillId="3" borderId="31" xfId="0" applyFont="1" applyFill="1" applyBorder="1" applyAlignment="1">
      <alignment horizontal="center" vertical="center"/>
    </xf>
    <xf numFmtId="0" fontId="6" fillId="3" borderId="32" xfId="0" applyFont="1" applyFill="1" applyBorder="1" applyAlignment="1">
      <alignment horizontal="center" vertical="center" shrinkToFit="1"/>
    </xf>
    <xf numFmtId="0" fontId="7" fillId="9" borderId="21"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6" fillId="2" borderId="73" xfId="0" applyFont="1" applyFill="1" applyBorder="1" applyAlignment="1">
      <alignment horizontal="center" vertical="center" shrinkToFit="1"/>
    </xf>
    <xf numFmtId="0" fontId="7" fillId="3" borderId="53" xfId="0" applyFont="1" applyFill="1" applyBorder="1" applyAlignment="1">
      <alignment horizontal="center" vertical="center" shrinkToFit="1"/>
    </xf>
    <xf numFmtId="0" fontId="7" fillId="3" borderId="51" xfId="0" applyFont="1" applyFill="1" applyBorder="1" applyAlignment="1">
      <alignment horizontal="center" vertical="center" shrinkToFit="1"/>
    </xf>
    <xf numFmtId="0" fontId="6" fillId="2" borderId="63" xfId="0" applyFont="1" applyFill="1" applyBorder="1" applyAlignment="1">
      <alignment horizontal="center" vertical="center" shrinkToFit="1"/>
    </xf>
    <xf numFmtId="0" fontId="2" fillId="2" borderId="0" xfId="0" applyFont="1" applyFill="1" applyAlignment="1">
      <alignment horizontal="center" vertical="center"/>
    </xf>
    <xf numFmtId="0" fontId="3" fillId="2" borderId="23" xfId="0" applyFont="1" applyFill="1" applyBorder="1" applyAlignment="1">
      <alignment horizontal="center" vertical="center"/>
    </xf>
    <xf numFmtId="0" fontId="3" fillId="2" borderId="57" xfId="0" applyFont="1" applyFill="1" applyBorder="1" applyAlignment="1">
      <alignment horizontal="center" vertical="center"/>
    </xf>
    <xf numFmtId="0" fontId="2" fillId="3" borderId="45" xfId="0" applyFont="1" applyFill="1" applyBorder="1" applyAlignment="1">
      <alignment horizontal="center" vertical="center"/>
    </xf>
    <xf numFmtId="178" fontId="2" fillId="3" borderId="29" xfId="0" applyNumberFormat="1" applyFont="1" applyFill="1" applyBorder="1" applyAlignment="1">
      <alignment horizontal="center" vertical="center"/>
    </xf>
    <xf numFmtId="0" fontId="2" fillId="7" borderId="38" xfId="0" applyFont="1" applyFill="1" applyBorder="1" applyAlignment="1">
      <alignment horizontal="center" vertical="center"/>
    </xf>
    <xf numFmtId="0" fontId="2" fillId="7" borderId="72" xfId="0" applyFont="1" applyFill="1" applyBorder="1" applyAlignment="1">
      <alignment horizontal="center" vertical="center"/>
    </xf>
    <xf numFmtId="0" fontId="2" fillId="3" borderId="45"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0" xfId="0" applyFont="1" applyFill="1" applyAlignment="1">
      <alignment horizontal="center" vertical="center"/>
    </xf>
    <xf numFmtId="0" fontId="3" fillId="2" borderId="3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23"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74"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87" xfId="0" applyFont="1" applyFill="1" applyBorder="1" applyAlignment="1">
      <alignment horizontal="center" vertical="center"/>
    </xf>
    <xf numFmtId="0" fontId="2" fillId="3" borderId="4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8"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4" borderId="0" xfId="0" applyFont="1" applyFill="1" applyAlignment="1">
      <alignment horizontal="center" vertical="center"/>
    </xf>
    <xf numFmtId="0" fontId="15" fillId="2" borderId="0" xfId="0" applyFont="1" applyFill="1" applyAlignment="1">
      <alignment horizontal="center" vertical="center"/>
    </xf>
    <xf numFmtId="0" fontId="3" fillId="2" borderId="0" xfId="0" applyFont="1" applyFill="1" applyAlignment="1">
      <alignment horizontal="center" vertical="center"/>
    </xf>
    <xf numFmtId="0" fontId="3" fillId="2" borderId="56" xfId="0" applyFont="1" applyFill="1" applyBorder="1" applyAlignment="1">
      <alignment vertical="center" shrinkToFit="1"/>
    </xf>
    <xf numFmtId="0" fontId="3" fillId="2" borderId="71" xfId="0" applyFont="1" applyFill="1" applyBorder="1" applyAlignment="1">
      <alignment vertical="center" shrinkToFit="1"/>
    </xf>
    <xf numFmtId="0" fontId="3" fillId="2" borderId="0" xfId="0" applyFont="1" applyFill="1" applyBorder="1" applyAlignment="1">
      <alignment vertical="center" shrinkToFit="1"/>
    </xf>
    <xf numFmtId="0" fontId="3" fillId="2" borderId="16" xfId="0" applyFont="1" applyFill="1" applyBorder="1" applyAlignment="1">
      <alignment vertical="center" shrinkToFit="1"/>
    </xf>
    <xf numFmtId="0" fontId="3" fillId="2" borderId="43" xfId="0" applyFont="1" applyFill="1" applyBorder="1" applyAlignment="1">
      <alignment vertical="center" shrinkToFit="1"/>
    </xf>
    <xf numFmtId="0" fontId="3" fillId="2" borderId="93" xfId="0" applyFont="1" applyFill="1" applyBorder="1" applyAlignment="1">
      <alignment vertical="center" shrinkToFit="1"/>
    </xf>
    <xf numFmtId="0" fontId="6" fillId="3" borderId="26"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3" fillId="2" borderId="0" xfId="0" applyFont="1" applyFill="1" applyAlignment="1">
      <alignment horizontal="center" vertical="center"/>
    </xf>
    <xf numFmtId="0" fontId="3" fillId="2" borderId="58" xfId="0" applyFont="1" applyFill="1" applyBorder="1" applyAlignment="1">
      <alignment horizontal="center" vertical="center"/>
    </xf>
    <xf numFmtId="0" fontId="3" fillId="2" borderId="23" xfId="0" applyFont="1" applyFill="1" applyBorder="1" applyAlignment="1">
      <alignment horizontal="center" vertical="center"/>
    </xf>
    <xf numFmtId="2" fontId="6" fillId="3" borderId="0" xfId="0" applyNumberFormat="1" applyFont="1" applyFill="1" applyBorder="1" applyAlignment="1">
      <alignment horizontal="center" vertical="center" shrinkToFit="1"/>
    </xf>
    <xf numFmtId="0" fontId="3" fillId="2" borderId="58" xfId="0" applyFont="1" applyFill="1" applyBorder="1" applyAlignment="1">
      <alignment horizontal="center" vertical="center"/>
    </xf>
    <xf numFmtId="0" fontId="3" fillId="2" borderId="0" xfId="0" applyFont="1" applyFill="1" applyAlignment="1">
      <alignment horizontal="center" vertical="center"/>
    </xf>
    <xf numFmtId="0" fontId="3" fillId="2" borderId="23"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179" fontId="2" fillId="0" borderId="0" xfId="0" applyNumberFormat="1" applyFont="1" applyAlignment="1">
      <alignment horizontal="center" vertical="center"/>
    </xf>
    <xf numFmtId="0" fontId="11" fillId="3" borderId="25"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2" fillId="0" borderId="0" xfId="0" applyFont="1" applyAlignment="1">
      <alignment vertical="center"/>
    </xf>
    <xf numFmtId="0" fontId="2" fillId="10" borderId="0" xfId="0" applyFont="1" applyFill="1" applyBorder="1" applyAlignment="1">
      <alignment horizontal="center" vertical="center"/>
    </xf>
    <xf numFmtId="0" fontId="2" fillId="10" borderId="43" xfId="0" applyFont="1" applyFill="1" applyBorder="1" applyAlignment="1">
      <alignment horizontal="center" vertical="center"/>
    </xf>
    <xf numFmtId="0" fontId="2" fillId="13" borderId="17" xfId="0" applyFont="1" applyFill="1" applyBorder="1" applyAlignment="1">
      <alignment horizontal="center" vertical="center"/>
    </xf>
    <xf numFmtId="0" fontId="2" fillId="13" borderId="65" xfId="0" applyFont="1" applyFill="1" applyBorder="1" applyAlignment="1">
      <alignment horizontal="center" vertical="center"/>
    </xf>
    <xf numFmtId="0" fontId="3" fillId="2" borderId="23" xfId="0" applyFont="1" applyFill="1" applyBorder="1" applyAlignment="1">
      <alignment vertical="center"/>
    </xf>
    <xf numFmtId="0" fontId="2" fillId="12" borderId="28" xfId="0" applyFont="1" applyFill="1" applyBorder="1" applyAlignment="1">
      <alignment horizontal="center" vertical="center"/>
    </xf>
    <xf numFmtId="0" fontId="2" fillId="10" borderId="28" xfId="0" applyFont="1" applyFill="1" applyBorder="1" applyAlignment="1">
      <alignment horizontal="center" vertical="center"/>
    </xf>
    <xf numFmtId="0" fontId="2" fillId="12" borderId="31" xfId="0" applyFont="1" applyFill="1" applyBorder="1" applyAlignment="1">
      <alignment horizontal="center" vertical="center"/>
    </xf>
    <xf numFmtId="0" fontId="2" fillId="10" borderId="31" xfId="0" applyFont="1" applyFill="1" applyBorder="1" applyAlignment="1">
      <alignment horizontal="center" vertical="center"/>
    </xf>
    <xf numFmtId="0" fontId="16" fillId="2" borderId="0" xfId="0" applyFont="1" applyFill="1" applyAlignment="1">
      <alignment vertical="center"/>
    </xf>
    <xf numFmtId="0" fontId="6" fillId="13" borderId="22" xfId="0" applyFont="1" applyFill="1" applyBorder="1" applyAlignment="1">
      <alignment horizontal="center" vertical="center"/>
    </xf>
    <xf numFmtId="0" fontId="2" fillId="13" borderId="25" xfId="0" applyFont="1" applyFill="1" applyBorder="1" applyAlignment="1">
      <alignment horizontal="center" vertical="center"/>
    </xf>
    <xf numFmtId="0" fontId="2" fillId="13" borderId="28" xfId="0" applyFont="1" applyFill="1" applyBorder="1" applyAlignment="1">
      <alignment horizontal="center" vertical="center"/>
    </xf>
    <xf numFmtId="0" fontId="2" fillId="1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13" borderId="31" xfId="0" applyFont="1" applyFill="1" applyBorder="1" applyAlignment="1">
      <alignment horizontal="center" vertical="center"/>
    </xf>
    <xf numFmtId="0" fontId="2" fillId="12" borderId="32" xfId="0" applyFont="1" applyFill="1" applyBorder="1" applyAlignment="1">
      <alignment horizontal="center" vertical="center"/>
    </xf>
    <xf numFmtId="0" fontId="5" fillId="2" borderId="0" xfId="0" applyFont="1" applyFill="1" applyAlignment="1">
      <alignment vertical="center"/>
    </xf>
    <xf numFmtId="0" fontId="11" fillId="3" borderId="9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98"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99" xfId="0" applyFont="1" applyFill="1" applyBorder="1" applyAlignment="1">
      <alignment horizontal="center" vertical="center"/>
    </xf>
    <xf numFmtId="0" fontId="11" fillId="3" borderId="100" xfId="0" applyFont="1" applyFill="1" applyBorder="1" applyAlignment="1">
      <alignment horizontal="center" vertical="center"/>
    </xf>
    <xf numFmtId="0" fontId="11" fillId="3" borderId="101" xfId="0" applyFont="1" applyFill="1" applyBorder="1" applyAlignment="1">
      <alignment horizontal="center" vertical="center"/>
    </xf>
    <xf numFmtId="0" fontId="11" fillId="3" borderId="102" xfId="0" applyFont="1" applyFill="1" applyBorder="1" applyAlignment="1">
      <alignment horizontal="center" vertical="center"/>
    </xf>
    <xf numFmtId="0" fontId="11" fillId="3" borderId="103" xfId="0" applyFont="1" applyFill="1" applyBorder="1" applyAlignment="1">
      <alignment horizontal="center" vertical="center"/>
    </xf>
    <xf numFmtId="0" fontId="11" fillId="3" borderId="104" xfId="0" applyFont="1" applyFill="1" applyBorder="1" applyAlignment="1">
      <alignment horizontal="center" vertical="center"/>
    </xf>
    <xf numFmtId="0" fontId="11" fillId="3" borderId="105" xfId="0" applyFont="1" applyFill="1" applyBorder="1" applyAlignment="1">
      <alignment horizontal="center" vertical="center"/>
    </xf>
    <xf numFmtId="0" fontId="11" fillId="3" borderId="106" xfId="0" applyFont="1" applyFill="1" applyBorder="1" applyAlignment="1">
      <alignment horizontal="center" vertical="center"/>
    </xf>
    <xf numFmtId="0" fontId="11" fillId="3" borderId="107" xfId="0" applyFont="1" applyFill="1" applyBorder="1" applyAlignment="1">
      <alignment horizontal="center" vertical="center"/>
    </xf>
    <xf numFmtId="0" fontId="11" fillId="3" borderId="108" xfId="0" applyFont="1" applyFill="1" applyBorder="1" applyAlignment="1">
      <alignment horizontal="center" vertical="center"/>
    </xf>
    <xf numFmtId="0" fontId="2" fillId="0" borderId="0" xfId="0" applyFont="1">
      <alignment vertical="center"/>
    </xf>
    <xf numFmtId="0" fontId="3" fillId="2" borderId="57"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13" fillId="8" borderId="78" xfId="0" applyFont="1" applyFill="1" applyBorder="1" applyAlignment="1">
      <alignment horizontal="center" vertical="center" shrinkToFit="1"/>
    </xf>
    <xf numFmtId="0" fontId="13" fillId="8" borderId="79"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13" fillId="8" borderId="76" xfId="0" applyFont="1" applyFill="1" applyBorder="1" applyAlignment="1">
      <alignment horizontal="center" vertical="center" shrinkToFit="1"/>
    </xf>
    <xf numFmtId="0" fontId="13" fillId="8" borderId="7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7" fillId="10" borderId="66" xfId="0" applyFont="1" applyFill="1" applyBorder="1" applyAlignment="1">
      <alignment horizontal="center" vertical="center" shrinkToFit="1"/>
    </xf>
    <xf numFmtId="0" fontId="7" fillId="10" borderId="43" xfId="0" applyFont="1" applyFill="1" applyBorder="1" applyAlignment="1">
      <alignment horizontal="center" vertical="center" shrinkToFit="1"/>
    </xf>
    <xf numFmtId="0" fontId="7" fillId="10" borderId="67" xfId="0" applyFont="1" applyFill="1" applyBorder="1" applyAlignment="1">
      <alignment horizontal="center" vertical="center" shrinkToFit="1"/>
    </xf>
    <xf numFmtId="0" fontId="7" fillId="10" borderId="66" xfId="0" applyFont="1" applyFill="1" applyBorder="1" applyAlignment="1" applyProtection="1">
      <alignment horizontal="center" vertical="center" shrinkToFit="1"/>
      <protection locked="0"/>
    </xf>
    <xf numFmtId="0" fontId="7" fillId="10" borderId="43" xfId="0" applyFont="1" applyFill="1" applyBorder="1" applyAlignment="1" applyProtection="1">
      <alignment horizontal="center" vertical="center" shrinkToFit="1"/>
      <protection locked="0"/>
    </xf>
    <xf numFmtId="0" fontId="7" fillId="10" borderId="67" xfId="0" applyFont="1" applyFill="1" applyBorder="1" applyAlignment="1" applyProtection="1">
      <alignment horizontal="center" vertical="center" shrinkToFit="1"/>
      <protection locked="0"/>
    </xf>
    <xf numFmtId="0" fontId="13" fillId="8" borderId="70" xfId="0" applyFont="1" applyFill="1" applyBorder="1" applyAlignment="1">
      <alignment horizontal="center" vertical="center" shrinkToFit="1"/>
    </xf>
    <xf numFmtId="0" fontId="13" fillId="8" borderId="44" xfId="0" applyFont="1" applyFill="1" applyBorder="1" applyAlignment="1">
      <alignment horizontal="center" vertical="center" shrinkToFit="1"/>
    </xf>
    <xf numFmtId="9" fontId="6" fillId="3" borderId="72" xfId="0" applyNumberFormat="1" applyFont="1" applyFill="1" applyBorder="1" applyAlignment="1">
      <alignment horizontal="center" vertical="center" shrinkToFit="1"/>
    </xf>
    <xf numFmtId="9" fontId="6" fillId="3" borderId="58" xfId="0" applyNumberFormat="1" applyFont="1" applyFill="1" applyBorder="1" applyAlignment="1">
      <alignment horizontal="center" vertical="center" shrinkToFit="1"/>
    </xf>
    <xf numFmtId="9" fontId="6" fillId="3" borderId="68" xfId="0" applyNumberFormat="1" applyFont="1" applyFill="1" applyBorder="1" applyAlignment="1">
      <alignment horizontal="center" vertical="center" shrinkToFit="1"/>
    </xf>
    <xf numFmtId="9" fontId="6" fillId="3" borderId="57" xfId="0" applyNumberFormat="1" applyFont="1" applyFill="1" applyBorder="1" applyAlignment="1">
      <alignment horizontal="center" vertical="center" shrinkToFit="1"/>
    </xf>
    <xf numFmtId="0" fontId="7" fillId="10" borderId="23" xfId="0" applyFont="1" applyFill="1" applyBorder="1" applyAlignment="1">
      <alignment horizontal="center" vertical="center" shrinkToFit="1"/>
    </xf>
    <xf numFmtId="0" fontId="7" fillId="9" borderId="65" xfId="0" applyFont="1" applyFill="1" applyBorder="1" applyAlignment="1">
      <alignment horizontal="center" vertical="center" shrinkToFit="1"/>
    </xf>
    <xf numFmtId="0" fontId="7" fillId="9" borderId="43" xfId="0" applyFont="1" applyFill="1" applyBorder="1" applyAlignment="1">
      <alignment horizontal="center" vertical="center" shrinkToFit="1"/>
    </xf>
    <xf numFmtId="0" fontId="2" fillId="3" borderId="72" xfId="0" applyFont="1" applyFill="1" applyBorder="1" applyAlignment="1" applyProtection="1">
      <alignment horizontal="center" vertical="center"/>
    </xf>
    <xf numFmtId="0" fontId="2" fillId="3" borderId="68" xfId="0" applyFont="1" applyFill="1" applyBorder="1" applyAlignment="1" applyProtection="1">
      <alignment horizontal="center" vertical="center"/>
    </xf>
    <xf numFmtId="0" fontId="7" fillId="9" borderId="67" xfId="0" applyFont="1" applyFill="1" applyBorder="1" applyAlignment="1">
      <alignment horizontal="center" vertical="center" shrinkToFit="1"/>
    </xf>
    <xf numFmtId="0" fontId="13" fillId="8" borderId="72" xfId="0" applyFont="1" applyFill="1" applyBorder="1" applyAlignment="1">
      <alignment horizontal="center" vertical="center" shrinkToFit="1"/>
    </xf>
    <xf numFmtId="0" fontId="13" fillId="8" borderId="68" xfId="0" applyFont="1" applyFill="1" applyBorder="1" applyAlignment="1">
      <alignment horizontal="center" vertical="center" shrinkToFit="1"/>
    </xf>
    <xf numFmtId="0" fontId="7" fillId="5" borderId="23" xfId="0" applyFont="1" applyFill="1" applyBorder="1" applyAlignment="1">
      <alignment horizontal="center" vertical="center" shrinkToFit="1"/>
    </xf>
    <xf numFmtId="0" fontId="7" fillId="5" borderId="57" xfId="0" applyFont="1" applyFill="1" applyBorder="1" applyAlignment="1">
      <alignment horizontal="center" vertical="center" shrinkToFit="1"/>
    </xf>
    <xf numFmtId="0" fontId="7" fillId="5" borderId="58" xfId="0" applyFont="1" applyFill="1" applyBorder="1" applyAlignment="1">
      <alignment horizontal="center" vertical="center" shrinkToFit="1"/>
    </xf>
    <xf numFmtId="0" fontId="7" fillId="5" borderId="64" xfId="0" applyFont="1" applyFill="1" applyBorder="1" applyAlignment="1">
      <alignment horizontal="center" vertical="center" shrinkToFit="1"/>
    </xf>
    <xf numFmtId="0" fontId="13" fillId="8" borderId="74" xfId="0" applyFont="1" applyFill="1" applyBorder="1" applyAlignment="1">
      <alignment horizontal="center" vertical="center" shrinkToFit="1"/>
    </xf>
    <xf numFmtId="0" fontId="13" fillId="8" borderId="75"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3" borderId="45" xfId="0" applyFont="1" applyFill="1" applyBorder="1" applyAlignment="1">
      <alignment horizontal="center" vertical="center"/>
    </xf>
    <xf numFmtId="0" fontId="7" fillId="10" borderId="72" xfId="0" applyFont="1" applyFill="1" applyBorder="1" applyAlignment="1">
      <alignment horizontal="center" vertical="center" shrinkToFit="1"/>
    </xf>
    <xf numFmtId="0" fontId="7" fillId="10" borderId="58" xfId="0" applyFont="1" applyFill="1" applyBorder="1" applyAlignment="1">
      <alignment horizontal="center" vertical="center" shrinkToFit="1"/>
    </xf>
    <xf numFmtId="0" fontId="7" fillId="10" borderId="68" xfId="0" applyFont="1" applyFill="1" applyBorder="1" applyAlignment="1">
      <alignment horizontal="center" vertical="center" shrinkToFit="1"/>
    </xf>
    <xf numFmtId="0" fontId="7" fillId="9" borderId="57" xfId="0" applyFont="1" applyFill="1" applyBorder="1" applyAlignment="1">
      <alignment horizontal="center" vertical="center" shrinkToFit="1"/>
    </xf>
    <xf numFmtId="0" fontId="7" fillId="9" borderId="58" xfId="0" applyFont="1" applyFill="1" applyBorder="1" applyAlignment="1">
      <alignment horizontal="center" vertical="center" shrinkToFit="1"/>
    </xf>
    <xf numFmtId="0" fontId="7" fillId="9" borderId="68" xfId="0" applyFont="1" applyFill="1" applyBorder="1" applyAlignment="1">
      <alignment horizontal="center" vertical="center" shrinkToFit="1"/>
    </xf>
    <xf numFmtId="0" fontId="13" fillId="8" borderId="63" xfId="0" applyFont="1" applyFill="1" applyBorder="1" applyAlignment="1">
      <alignment horizontal="center" vertical="center" shrinkToFit="1"/>
    </xf>
    <xf numFmtId="0" fontId="13" fillId="8" borderId="45" xfId="0" applyFont="1" applyFill="1" applyBorder="1" applyAlignment="1">
      <alignment horizontal="center" vertical="center" shrinkToFit="1"/>
    </xf>
    <xf numFmtId="0" fontId="7" fillId="10" borderId="57" xfId="0" applyFont="1" applyFill="1" applyBorder="1" applyAlignment="1">
      <alignment horizontal="center" vertical="center" shrinkToFit="1"/>
    </xf>
    <xf numFmtId="0" fontId="7" fillId="10" borderId="59" xfId="0" applyFont="1" applyFill="1" applyBorder="1" applyAlignment="1">
      <alignment horizontal="center" vertical="center" shrinkToFit="1"/>
    </xf>
    <xf numFmtId="0" fontId="7" fillId="10" borderId="56" xfId="0" applyFont="1" applyFill="1" applyBorder="1" applyAlignment="1">
      <alignment horizontal="center" vertical="center" shrinkToFit="1"/>
    </xf>
    <xf numFmtId="0" fontId="7" fillId="10" borderId="44" xfId="0" applyFont="1" applyFill="1" applyBorder="1" applyAlignment="1">
      <alignment horizontal="center" vertical="center" shrinkToFit="1"/>
    </xf>
    <xf numFmtId="0" fontId="12" fillId="11" borderId="57" xfId="0" applyFont="1" applyFill="1" applyBorder="1" applyAlignment="1">
      <alignment horizontal="center" vertical="center" shrinkToFit="1"/>
    </xf>
    <xf numFmtId="0" fontId="12" fillId="11" borderId="64"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93" xfId="0" applyFont="1" applyFill="1" applyBorder="1" applyAlignment="1">
      <alignment horizontal="center" vertical="center" shrinkToFit="1"/>
    </xf>
    <xf numFmtId="0" fontId="7" fillId="3" borderId="51" xfId="0" applyFont="1" applyFill="1" applyBorder="1" applyAlignment="1">
      <alignment horizontal="center" vertical="center" shrinkToFit="1"/>
    </xf>
    <xf numFmtId="0" fontId="12" fillId="3" borderId="51"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6" fillId="3" borderId="61" xfId="0" applyFont="1" applyFill="1" applyBorder="1" applyAlignment="1">
      <alignment horizontal="center" vertical="center" shrinkToFit="1"/>
    </xf>
    <xf numFmtId="0" fontId="6" fillId="3" borderId="69"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2" fontId="6" fillId="3" borderId="0" xfId="0" applyNumberFormat="1" applyFont="1" applyFill="1" applyBorder="1" applyAlignment="1">
      <alignment horizontal="center" vertical="center" shrinkToFit="1"/>
    </xf>
    <xf numFmtId="0" fontId="11" fillId="3" borderId="4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5" fillId="2" borderId="4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72" xfId="0" applyFont="1" applyFill="1" applyBorder="1" applyAlignment="1">
      <alignment horizontal="center" vertical="center"/>
    </xf>
    <xf numFmtId="0" fontId="2" fillId="3" borderId="68" xfId="0" applyFont="1" applyFill="1" applyBorder="1" applyAlignment="1">
      <alignment horizontal="center" vertical="center"/>
    </xf>
    <xf numFmtId="0" fontId="2" fillId="0" borderId="63"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2" fillId="6" borderId="57"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64"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4" xfId="0" applyFont="1" applyFill="1" applyBorder="1" applyAlignment="1">
      <alignment horizontal="center" vertical="center"/>
    </xf>
    <xf numFmtId="0" fontId="7" fillId="8" borderId="86" xfId="0" applyFont="1" applyFill="1" applyBorder="1" applyAlignment="1">
      <alignment horizontal="center" vertical="center"/>
    </xf>
    <xf numFmtId="0" fontId="7" fillId="8" borderId="37"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70"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71" xfId="0" applyFont="1" applyFill="1" applyBorder="1" applyAlignment="1">
      <alignment horizontal="center" vertical="center"/>
    </xf>
    <xf numFmtId="0" fontId="2" fillId="0" borderId="89" xfId="0" applyFont="1" applyBorder="1" applyAlignment="1">
      <alignment horizontal="center" vertical="center"/>
    </xf>
    <xf numFmtId="0" fontId="2" fillId="0" borderId="53" xfId="0" applyFont="1" applyBorder="1" applyAlignment="1">
      <alignment horizontal="center" vertical="center"/>
    </xf>
    <xf numFmtId="0" fontId="14" fillId="2" borderId="0" xfId="0" applyFont="1" applyFill="1" applyAlignment="1">
      <alignment horizontal="center" vertical="center"/>
    </xf>
    <xf numFmtId="0" fontId="2" fillId="0" borderId="88" xfId="0" applyFont="1" applyBorder="1" applyAlignment="1">
      <alignment horizontal="center" vertical="center"/>
    </xf>
    <xf numFmtId="0" fontId="2" fillId="6" borderId="94" xfId="0" applyFont="1" applyFill="1" applyBorder="1" applyAlignment="1">
      <alignment horizontal="center" vertical="center"/>
    </xf>
    <xf numFmtId="0" fontId="2" fillId="6" borderId="95" xfId="0" applyFont="1" applyFill="1" applyBorder="1" applyAlignment="1">
      <alignment horizontal="center" vertical="center"/>
    </xf>
    <xf numFmtId="0" fontId="2" fillId="6" borderId="96" xfId="0" applyFont="1" applyFill="1" applyBorder="1" applyAlignment="1">
      <alignment horizontal="center" vertical="center"/>
    </xf>
    <xf numFmtId="0" fontId="2" fillId="6" borderId="44" xfId="0" applyFont="1" applyFill="1" applyBorder="1" applyAlignment="1">
      <alignment horizontal="center" vertical="center"/>
    </xf>
    <xf numFmtId="0" fontId="2" fillId="3" borderId="57"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9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2" borderId="43" xfId="0" applyFont="1"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lignment vertical="center"/>
    </xf>
    <xf numFmtId="0" fontId="2" fillId="3" borderId="0" xfId="0" applyFont="1" applyFill="1">
      <alignment vertical="center"/>
    </xf>
    <xf numFmtId="0" fontId="7" fillId="3" borderId="0" xfId="0" applyFont="1" applyFill="1">
      <alignment vertical="center"/>
    </xf>
    <xf numFmtId="0" fontId="12" fillId="3" borderId="0" xfId="0" applyFont="1" applyFill="1">
      <alignment vertical="center"/>
    </xf>
    <xf numFmtId="0" fontId="2" fillId="3" borderId="0" xfId="0" applyFont="1" applyFill="1" applyAlignment="1">
      <alignment horizontal="center" vertical="center"/>
    </xf>
    <xf numFmtId="0" fontId="18" fillId="3" borderId="0" xfId="1" applyFont="1" applyFill="1">
      <alignment vertical="center"/>
    </xf>
    <xf numFmtId="0" fontId="6" fillId="3"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IO/Dropbox/Public/&#12420;&#12426;&#36796;&#12415;/&#12489;&#12521;&#12463;&#12456;7/dq7/bo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人公"/>
      <sheetName val="マリベル"/>
      <sheetName val="キーファ"/>
      <sheetName val="ガボ"/>
      <sheetName val="メルビン"/>
      <sheetName val="アイラ"/>
      <sheetName val="装備"/>
      <sheetName val="装備耐性"/>
      <sheetName val="職業"/>
      <sheetName val="特技"/>
      <sheetName val="ボス"/>
      <sheetName val="基本ステ"/>
      <sheetName val="メイン"/>
      <sheetName val="使い方"/>
    </sheetNames>
    <sheetDataSet>
      <sheetData sheetId="0"/>
      <sheetData sheetId="1"/>
      <sheetData sheetId="2"/>
      <sheetData sheetId="3"/>
      <sheetData sheetId="4"/>
      <sheetData sheetId="5"/>
      <sheetData sheetId="6">
        <row r="1">
          <cell r="G1" t="str">
            <v>盾</v>
          </cell>
        </row>
        <row r="2">
          <cell r="G2" t="str">
            <v>お鍋の蓋</v>
          </cell>
        </row>
        <row r="3">
          <cell r="G3" t="str">
            <v>皮の盾</v>
          </cell>
        </row>
        <row r="4">
          <cell r="G4" t="str">
            <v>鱗の盾</v>
          </cell>
        </row>
        <row r="5">
          <cell r="G5" t="str">
            <v>キトンシールド</v>
          </cell>
        </row>
        <row r="6">
          <cell r="G6" t="str">
            <v>青銅の盾</v>
          </cell>
        </row>
        <row r="7">
          <cell r="G7" t="str">
            <v>鉄の盾</v>
          </cell>
        </row>
        <row r="8">
          <cell r="G8" t="str">
            <v>シルバートレイ</v>
          </cell>
        </row>
        <row r="9">
          <cell r="G9" t="str">
            <v>ホワイトシールド</v>
          </cell>
        </row>
        <row r="10">
          <cell r="G10" t="str">
            <v>魔法の盾</v>
          </cell>
        </row>
        <row r="11">
          <cell r="G11" t="str">
            <v>氷の盾</v>
          </cell>
        </row>
        <row r="12">
          <cell r="G12" t="str">
            <v>プラチナシールド</v>
          </cell>
        </row>
        <row r="13">
          <cell r="G13" t="str">
            <v>ドラゴンシールド</v>
          </cell>
        </row>
        <row r="14">
          <cell r="G14" t="str">
            <v>ドルフィンシールド</v>
          </cell>
        </row>
        <row r="15">
          <cell r="G15" t="str">
            <v>風神の盾</v>
          </cell>
        </row>
        <row r="16">
          <cell r="G16" t="str">
            <v>炎の盾</v>
          </cell>
        </row>
        <row r="17">
          <cell r="G17" t="str">
            <v>力の盾</v>
          </cell>
        </row>
        <row r="18">
          <cell r="G18" t="str">
            <v>嘆きの盾</v>
          </cell>
        </row>
        <row r="19">
          <cell r="G19" t="str">
            <v>オーガシールド</v>
          </cell>
        </row>
        <row r="20">
          <cell r="G20" t="str">
            <v>水鏡の盾</v>
          </cell>
        </row>
        <row r="21">
          <cell r="G21" t="str">
            <v>破滅の盾</v>
          </cell>
        </row>
        <row r="22">
          <cell r="G22" t="str">
            <v>トルナードの盾</v>
          </cell>
        </row>
        <row r="23">
          <cell r="G23" t="str">
            <v>メタルキングの盾</v>
          </cell>
        </row>
        <row r="24">
          <cell r="G24" t="str">
            <v>なし</v>
          </cell>
        </row>
      </sheetData>
      <sheetData sheetId="7"/>
      <sheetData sheetId="8">
        <row r="1">
          <cell r="A1" t="str">
            <v>職業</v>
          </cell>
        </row>
      </sheetData>
      <sheetData sheetId="9">
        <row r="1">
          <cell r="A1" t="str">
            <v>特技名</v>
          </cell>
        </row>
        <row r="2">
          <cell r="A2" t="str">
            <v>メラ</v>
          </cell>
        </row>
        <row r="3">
          <cell r="A3" t="str">
            <v>火の息</v>
          </cell>
        </row>
        <row r="4">
          <cell r="A4" t="str">
            <v>力ためA</v>
          </cell>
        </row>
        <row r="5">
          <cell r="A5" t="str">
            <v>押しつぶす</v>
          </cell>
        </row>
        <row r="6">
          <cell r="A6" t="str">
            <v>かまいたち</v>
          </cell>
        </row>
        <row r="7">
          <cell r="A7" t="str">
            <v>諸刃斬り</v>
          </cell>
        </row>
        <row r="8">
          <cell r="A8" t="str">
            <v>冷たい息</v>
          </cell>
        </row>
        <row r="9">
          <cell r="A9" t="str">
            <v>ギラ</v>
          </cell>
        </row>
        <row r="10">
          <cell r="A10" t="str">
            <v>ベギラマ</v>
          </cell>
        </row>
        <row r="11">
          <cell r="A11" t="str">
            <v>痛恨Ａ</v>
          </cell>
        </row>
        <row r="12">
          <cell r="A12" t="str">
            <v>イオ</v>
          </cell>
        </row>
        <row r="13">
          <cell r="A13" t="str">
            <v>ヒャド</v>
          </cell>
        </row>
        <row r="14">
          <cell r="A14" t="str">
            <v>ムーンサルト</v>
          </cell>
        </row>
        <row r="15">
          <cell r="A15" t="str">
            <v>火炎斬り</v>
          </cell>
        </row>
        <row r="16">
          <cell r="A16" t="str">
            <v>バギマ</v>
          </cell>
        </row>
        <row r="17">
          <cell r="A17" t="str">
            <v>回し蹴り</v>
          </cell>
        </row>
        <row r="18">
          <cell r="A18" t="str">
            <v>正拳突き</v>
          </cell>
        </row>
        <row r="19">
          <cell r="A19" t="str">
            <v>石つぶて</v>
          </cell>
        </row>
        <row r="20">
          <cell r="A20" t="str">
            <v>マヒャド斬り</v>
          </cell>
        </row>
        <row r="21">
          <cell r="A21" t="str">
            <v>ヒャダルコ</v>
          </cell>
        </row>
        <row r="22">
          <cell r="A22" t="str">
            <v>念じボール</v>
          </cell>
        </row>
        <row r="23">
          <cell r="A23" t="str">
            <v>力ためB</v>
          </cell>
        </row>
        <row r="24">
          <cell r="A24" t="str">
            <v>マッスルダンス</v>
          </cell>
        </row>
        <row r="25">
          <cell r="A25" t="str">
            <v>イオラ</v>
          </cell>
        </row>
        <row r="26">
          <cell r="A26" t="str">
            <v>皆殺し</v>
          </cell>
        </row>
        <row r="27">
          <cell r="A27" t="str">
            <v>爆裂拳</v>
          </cell>
        </row>
        <row r="28">
          <cell r="A28" t="str">
            <v>メラミ</v>
          </cell>
        </row>
        <row r="29">
          <cell r="A29" t="str">
            <v>バギ</v>
          </cell>
        </row>
        <row r="30">
          <cell r="A30" t="str">
            <v>氷の息</v>
          </cell>
        </row>
        <row r="31">
          <cell r="A31" t="str">
            <v>津波</v>
          </cell>
        </row>
        <row r="32">
          <cell r="A32" t="str">
            <v>なぎ払い</v>
          </cell>
        </row>
        <row r="33">
          <cell r="A33" t="str">
            <v>激しい炎</v>
          </cell>
        </row>
        <row r="34">
          <cell r="A34" t="str">
            <v>バギクロス</v>
          </cell>
        </row>
        <row r="35">
          <cell r="A35" t="str">
            <v>メラゾーマ</v>
          </cell>
        </row>
        <row r="36">
          <cell r="A36" t="str">
            <v>べギラゴン</v>
          </cell>
        </row>
        <row r="37">
          <cell r="A37" t="str">
            <v>真空波</v>
          </cell>
        </row>
        <row r="38">
          <cell r="A38" t="str">
            <v>地響き</v>
          </cell>
        </row>
        <row r="39">
          <cell r="A39" t="str">
            <v>痛恨Ｂ</v>
          </cell>
        </row>
        <row r="40">
          <cell r="A40" t="str">
            <v>マグマ</v>
          </cell>
        </row>
        <row r="41">
          <cell r="A41" t="str">
            <v>稲妻</v>
          </cell>
        </row>
        <row r="42">
          <cell r="A42" t="str">
            <v>イオナズン</v>
          </cell>
        </row>
        <row r="43">
          <cell r="A43" t="str">
            <v>とげ当たり</v>
          </cell>
        </row>
        <row r="44">
          <cell r="A44" t="str">
            <v>火柱</v>
          </cell>
        </row>
        <row r="45">
          <cell r="A45" t="str">
            <v>剣の舞</v>
          </cell>
        </row>
        <row r="46">
          <cell r="A46" t="str">
            <v>灼熱</v>
          </cell>
        </row>
        <row r="47">
          <cell r="A47" t="str">
            <v>凍える吹雪</v>
          </cell>
        </row>
        <row r="48">
          <cell r="A48" t="str">
            <v>火炎を投げる</v>
          </cell>
        </row>
        <row r="49">
          <cell r="A49" t="str">
            <v>おぞましい雄叫び</v>
          </cell>
        </row>
        <row r="50">
          <cell r="A50" t="str">
            <v>叩きつける</v>
          </cell>
        </row>
        <row r="51">
          <cell r="A51" t="str">
            <v>凍てつく冷気</v>
          </cell>
        </row>
        <row r="52">
          <cell r="A52" t="str">
            <v>マダンテ</v>
          </cell>
        </row>
        <row r="53">
          <cell r="A53" t="str">
            <v>打撃</v>
          </cell>
        </row>
        <row r="54">
          <cell r="A54" t="str">
            <v>強打撃</v>
          </cell>
        </row>
        <row r="55">
          <cell r="A55" t="str">
            <v>五月雨剣</v>
          </cell>
        </row>
        <row r="56">
          <cell r="A56" t="str">
            <v>煉獄火炎</v>
          </cell>
        </row>
        <row r="57">
          <cell r="A57" t="str">
            <v>ジゴスパーク</v>
          </cell>
        </row>
        <row r="58">
          <cell r="A58" t="str">
            <v>岩石落とし</v>
          </cell>
        </row>
        <row r="59">
          <cell r="A59" t="str">
            <v>魔人斬り</v>
          </cell>
        </row>
        <row r="60">
          <cell r="A60" t="str">
            <v>乱れ撃ち</v>
          </cell>
        </row>
      </sheetData>
      <sheetData sheetId="10">
        <row r="1">
          <cell r="A1" t="str">
            <v>ボス名</v>
          </cell>
        </row>
        <row r="2">
          <cell r="A2" t="str">
            <v>ゴーレム</v>
          </cell>
        </row>
        <row r="3">
          <cell r="A3" t="str">
            <v>チョッキンガー</v>
          </cell>
        </row>
        <row r="4">
          <cell r="A4" t="str">
            <v>マチルダ</v>
          </cell>
        </row>
        <row r="5">
          <cell r="A5" t="str">
            <v>炎の巨人</v>
          </cell>
        </row>
        <row r="6">
          <cell r="A6" t="str">
            <v>デス・アミーゴ</v>
          </cell>
        </row>
        <row r="7">
          <cell r="A7" t="str">
            <v>フォロッド兵</v>
          </cell>
        </row>
        <row r="8">
          <cell r="A8" t="str">
            <v>からくり兵</v>
          </cell>
        </row>
        <row r="9">
          <cell r="A9" t="str">
            <v>からくり兵(特)</v>
          </cell>
        </row>
        <row r="10">
          <cell r="A10" t="str">
            <v>マシンマスター</v>
          </cell>
        </row>
        <row r="11">
          <cell r="A11" t="str">
            <v>デスマシーン</v>
          </cell>
        </row>
        <row r="12">
          <cell r="A12" t="str">
            <v>雨ふらし</v>
          </cell>
        </row>
        <row r="13">
          <cell r="A13" t="str">
            <v>洞窟魔人</v>
          </cell>
        </row>
        <row r="14">
          <cell r="A14" t="str">
            <v>踊る宝石</v>
          </cell>
        </row>
        <row r="15">
          <cell r="A15" t="str">
            <v>イノップ</v>
          </cell>
        </row>
        <row r="16">
          <cell r="A16" t="str">
            <v>ゴンズ</v>
          </cell>
        </row>
        <row r="17">
          <cell r="A17" t="str">
            <v>マンイーター</v>
          </cell>
        </row>
        <row r="18">
          <cell r="A18" t="str">
            <v>ネペロ</v>
          </cell>
        </row>
        <row r="19">
          <cell r="A19" t="str">
            <v>ドラゴスライム</v>
          </cell>
        </row>
        <row r="20">
          <cell r="A20" t="str">
            <v>ガルシア</v>
          </cell>
        </row>
        <row r="21">
          <cell r="A21" t="str">
            <v>サンダーラット</v>
          </cell>
        </row>
        <row r="22">
          <cell r="A22" t="str">
            <v>トンプソン</v>
          </cell>
        </row>
        <row r="23">
          <cell r="A23" t="str">
            <v>マドハンド</v>
          </cell>
        </row>
        <row r="24">
          <cell r="A24" t="str">
            <v>ナプト</v>
          </cell>
        </row>
        <row r="25">
          <cell r="A25" t="str">
            <v>ブチュチュンパ</v>
          </cell>
        </row>
        <row r="26">
          <cell r="A26" t="str">
            <v>ドンホセ</v>
          </cell>
        </row>
        <row r="27">
          <cell r="A27" t="str">
            <v>ストローマウス</v>
          </cell>
        </row>
        <row r="28">
          <cell r="A28" t="str">
            <v>ネリス</v>
          </cell>
        </row>
        <row r="29">
          <cell r="A29" t="str">
            <v>スライムナイト</v>
          </cell>
        </row>
        <row r="30">
          <cell r="A30" t="str">
            <v>アントリア</v>
          </cell>
        </row>
        <row r="31">
          <cell r="A31" t="str">
            <v>山賊兵</v>
          </cell>
        </row>
        <row r="32">
          <cell r="A32" t="str">
            <v>山賊マージ</v>
          </cell>
        </row>
        <row r="33">
          <cell r="A33" t="str">
            <v>山賊</v>
          </cell>
        </row>
        <row r="34">
          <cell r="A34" t="str">
            <v>エテポンゲ</v>
          </cell>
        </row>
        <row r="35">
          <cell r="A35" t="str">
            <v>山賊のカシラ</v>
          </cell>
        </row>
        <row r="36">
          <cell r="A36" t="str">
            <v>ボーンライダー</v>
          </cell>
        </row>
        <row r="37">
          <cell r="A37" t="str">
            <v>ピグモンエビル１</v>
          </cell>
        </row>
        <row r="38">
          <cell r="A38" t="str">
            <v>ピグモンエビル２</v>
          </cell>
        </row>
        <row r="39">
          <cell r="A39" t="str">
            <v>セト</v>
          </cell>
        </row>
        <row r="40">
          <cell r="A40" t="str">
            <v>怪しい男</v>
          </cell>
        </row>
        <row r="41">
          <cell r="A41" t="str">
            <v>井戸魔人</v>
          </cell>
        </row>
        <row r="42">
          <cell r="A42" t="str">
            <v>ウルフデビル</v>
          </cell>
        </row>
        <row r="43">
          <cell r="A43" t="str">
            <v>井戸魔人(ノ)</v>
          </cell>
        </row>
        <row r="44">
          <cell r="A44" t="str">
            <v>タイムマスター</v>
          </cell>
        </row>
        <row r="45">
          <cell r="A45" t="str">
            <v>マキマキ</v>
          </cell>
        </row>
        <row r="46">
          <cell r="A46" t="str">
            <v>エンタシスマン</v>
          </cell>
        </row>
        <row r="47">
          <cell r="A47" t="str">
            <v>海底のゴースト</v>
          </cell>
        </row>
        <row r="48">
          <cell r="A48" t="str">
            <v>グラコス</v>
          </cell>
        </row>
        <row r="49">
          <cell r="A49" t="str">
            <v>キングスライム</v>
          </cell>
        </row>
        <row r="50">
          <cell r="A50" t="str">
            <v>ギガミュータント</v>
          </cell>
        </row>
        <row r="51">
          <cell r="A51" t="str">
            <v>グラコス５世</v>
          </cell>
        </row>
        <row r="52">
          <cell r="A52" t="str">
            <v>りゅうき兵</v>
          </cell>
        </row>
        <row r="53">
          <cell r="A53" t="str">
            <v>ベビーゴイル(特)</v>
          </cell>
        </row>
        <row r="54">
          <cell r="A54" t="str">
            <v>ボルンガ</v>
          </cell>
        </row>
        <row r="55">
          <cell r="A55" t="str">
            <v>ピンクオーク</v>
          </cell>
        </row>
        <row r="56">
          <cell r="A56" t="str">
            <v>闇のドラゴン</v>
          </cell>
        </row>
        <row r="57">
          <cell r="A57" t="str">
            <v>ヘルバオム</v>
          </cell>
        </row>
        <row r="58">
          <cell r="A58" t="str">
            <v>ヘルバオムの根っこ</v>
          </cell>
        </row>
        <row r="59">
          <cell r="A59" t="str">
            <v>ヘルワーム</v>
          </cell>
        </row>
        <row r="60">
          <cell r="A60" t="str">
            <v>メディルの使い</v>
          </cell>
        </row>
        <row r="61">
          <cell r="A61" t="str">
            <v>ゼッペル</v>
          </cell>
        </row>
        <row r="62">
          <cell r="A62" t="str">
            <v>闇の魔人</v>
          </cell>
        </row>
        <row r="63">
          <cell r="A63" t="str">
            <v>ヘルクラウダー</v>
          </cell>
        </row>
        <row r="64">
          <cell r="A64" t="str">
            <v>ベビークラウド</v>
          </cell>
        </row>
        <row r="65">
          <cell r="A65" t="str">
            <v>フォレストガード</v>
          </cell>
        </row>
        <row r="66">
          <cell r="A66" t="str">
            <v>ボトク</v>
          </cell>
        </row>
        <row r="67">
          <cell r="A67" t="str">
            <v>たつのこナイト</v>
          </cell>
        </row>
        <row r="68">
          <cell r="A68" t="str">
            <v>ガマデウス</v>
          </cell>
        </row>
        <row r="69">
          <cell r="A69" t="str">
            <v>シードラゴンズ</v>
          </cell>
        </row>
        <row r="70">
          <cell r="A70" t="str">
            <v>バリクナジャ</v>
          </cell>
        </row>
        <row r="71">
          <cell r="A71" t="str">
            <v>オルゴ・デミーラ１－１</v>
          </cell>
        </row>
        <row r="72">
          <cell r="A72" t="str">
            <v>オルゴ・デミーラ１－２</v>
          </cell>
        </row>
        <row r="73">
          <cell r="A73" t="str">
            <v>炎の精霊</v>
          </cell>
        </row>
        <row r="74">
          <cell r="A74" t="str">
            <v>ボーンフィッシュ</v>
          </cell>
        </row>
        <row r="75">
          <cell r="A75" t="str">
            <v>お化けヒトデ</v>
          </cell>
        </row>
        <row r="76">
          <cell r="A76" t="str">
            <v>ネイルビースト</v>
          </cell>
        </row>
        <row r="77">
          <cell r="A77" t="str">
            <v>ネンガル</v>
          </cell>
        </row>
        <row r="78">
          <cell r="A78" t="str">
            <v>オルゴ・デミーラ２－１</v>
          </cell>
        </row>
        <row r="79">
          <cell r="A79" t="str">
            <v>オルゴ・デミーラ２－２</v>
          </cell>
        </row>
        <row r="80">
          <cell r="A80" t="str">
            <v>オルゴ・デミーラ２－３</v>
          </cell>
        </row>
        <row r="81">
          <cell r="A81" t="str">
            <v>オルゴ・デミーラ２－４</v>
          </cell>
        </row>
        <row r="82">
          <cell r="A82" t="str">
            <v>ブロブロス</v>
          </cell>
        </row>
        <row r="83">
          <cell r="A83" t="str">
            <v>ドゴロク</v>
          </cell>
        </row>
        <row r="84">
          <cell r="A84" t="str">
            <v>神様</v>
          </cell>
        </row>
        <row r="85">
          <cell r="A85" t="str">
            <v>炎の精霊２</v>
          </cell>
        </row>
        <row r="86">
          <cell r="A86" t="str">
            <v>風の精霊</v>
          </cell>
        </row>
        <row r="87">
          <cell r="A87" t="str">
            <v>大地の精霊</v>
          </cell>
        </row>
        <row r="88">
          <cell r="A88" t="str">
            <v>水の精霊</v>
          </cell>
        </row>
        <row r="89">
          <cell r="A89" t="str">
            <v>悪魔の壺</v>
          </cell>
        </row>
        <row r="90">
          <cell r="A90" t="str">
            <v>鬼ムカデ</v>
          </cell>
        </row>
        <row r="91">
          <cell r="A91" t="str">
            <v>耳飛びネズミ</v>
          </cell>
        </row>
        <row r="92">
          <cell r="A92" t="str">
            <v>バブルスライム</v>
          </cell>
        </row>
        <row r="93">
          <cell r="A93" t="str">
            <v>ちゅう魔獣</v>
          </cell>
        </row>
        <row r="94">
          <cell r="A94" t="str">
            <v>猫魔導</v>
          </cell>
        </row>
        <row r="95">
          <cell r="A95" t="str">
            <v>ソードワラビー</v>
          </cell>
        </row>
        <row r="96">
          <cell r="A96" t="str">
            <v>花カワセミ</v>
          </cell>
        </row>
        <row r="97">
          <cell r="A97" t="str">
            <v>森の番人</v>
          </cell>
        </row>
        <row r="98">
          <cell r="A98" t="str">
            <v>はりせんもぐら</v>
          </cell>
        </row>
        <row r="99">
          <cell r="A99" t="str">
            <v>インプ</v>
          </cell>
        </row>
        <row r="100">
          <cell r="A100" t="str">
            <v>蟹男</v>
          </cell>
        </row>
        <row r="101">
          <cell r="A101" t="str">
            <v>ホイミスライム</v>
          </cell>
        </row>
        <row r="102">
          <cell r="A102" t="str">
            <v>とさか蛇</v>
          </cell>
        </row>
        <row r="103">
          <cell r="A103" t="str">
            <v>フェアリーラット</v>
          </cell>
        </row>
        <row r="104">
          <cell r="A104" t="str">
            <v>ベビーゴイル</v>
          </cell>
        </row>
        <row r="105">
          <cell r="A105" t="str">
            <v>腐った死体</v>
          </cell>
        </row>
        <row r="106">
          <cell r="A106" t="str">
            <v>ダークドワーフ</v>
          </cell>
        </row>
        <row r="107">
          <cell r="A107" t="str">
            <v>フーガ</v>
          </cell>
        </row>
        <row r="108">
          <cell r="A108" t="str">
            <v>首狩り族</v>
          </cell>
        </row>
        <row r="109">
          <cell r="A109" t="str">
            <v>デスクリーチャー</v>
          </cell>
        </row>
        <row r="110">
          <cell r="A110" t="str">
            <v>ギガントドラゴン</v>
          </cell>
        </row>
        <row r="111">
          <cell r="A111" t="str">
            <v>ネクロバルサ</v>
          </cell>
        </row>
        <row r="112">
          <cell r="A112" t="str">
            <v>魔界獣</v>
          </cell>
        </row>
        <row r="113">
          <cell r="A113" t="str">
            <v>大魔導</v>
          </cell>
        </row>
        <row r="114">
          <cell r="A114" t="str">
            <v>メタルスライムＳ</v>
          </cell>
        </row>
        <row r="115">
          <cell r="A115" t="str">
            <v>メタルキング</v>
          </cell>
        </row>
        <row r="116">
          <cell r="A116" t="str">
            <v>ネイルビーストＢ</v>
          </cell>
        </row>
        <row r="117">
          <cell r="A117" t="str">
            <v>スライム</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hyperlink" Target="http://harapan.exblog.jp/" TargetMode="External"/><Relationship Id="rId2" Type="http://schemas.openxmlformats.org/officeDocument/2006/relationships/hyperlink" Target="http://marine.yu.to/DQ6/index.html" TargetMode="External"/><Relationship Id="rId1" Type="http://schemas.openxmlformats.org/officeDocument/2006/relationships/hyperlink" Target="http://www5f.biglobe.ne.jp/~aba/dq.html" TargetMode="External"/><Relationship Id="rId5" Type="http://schemas.openxmlformats.org/officeDocument/2006/relationships/printerSettings" Target="../printerSettings/printerSettings7.bin"/><Relationship Id="rId4" Type="http://schemas.openxmlformats.org/officeDocument/2006/relationships/hyperlink" Target="http://kuneo.blog52.fc2.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U57"/>
  <sheetViews>
    <sheetView zoomScaleNormal="100" workbookViewId="0">
      <pane ySplit="11" topLeftCell="A12" activePane="bottomLeft" state="frozen"/>
      <selection pane="bottomLeft" activeCell="F2" sqref="F2:I2"/>
    </sheetView>
  </sheetViews>
  <sheetFormatPr defaultColWidth="3.125" defaultRowHeight="11.25" x14ac:dyDescent="0.15"/>
  <cols>
    <col min="1" max="1" width="1.625" style="65" customWidth="1"/>
    <col min="2" max="25" width="3.125" style="65"/>
    <col min="26" max="26" width="3.125" style="65" customWidth="1"/>
    <col min="27" max="37" width="3.125" style="65"/>
    <col min="38" max="38" width="3.125" style="65" customWidth="1"/>
    <col min="39" max="43" width="3.125" style="65"/>
    <col min="44" max="44" width="3.125" style="65" customWidth="1"/>
    <col min="45" max="46" width="3.125" style="65"/>
    <col min="47" max="47" width="1.625" style="65" customWidth="1"/>
    <col min="48" max="48" width="3.125" style="65" customWidth="1"/>
    <col min="49" max="16384" width="3.125" style="65"/>
  </cols>
  <sheetData>
    <row r="1" spans="1:47" ht="3.75" customHeight="1" x14ac:dyDescent="0.1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row>
    <row r="2" spans="1:47" s="67" customFormat="1" x14ac:dyDescent="0.15">
      <c r="A2" s="66"/>
      <c r="B2" s="90" t="s">
        <v>410</v>
      </c>
      <c r="C2" s="91">
        <f ca="1">VLOOKUP(F2,ID,2,FALSE)</f>
        <v>38</v>
      </c>
      <c r="D2" s="234" t="s">
        <v>250</v>
      </c>
      <c r="E2" s="234"/>
      <c r="F2" s="235" t="s">
        <v>315</v>
      </c>
      <c r="G2" s="235"/>
      <c r="H2" s="235"/>
      <c r="I2" s="235"/>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row>
    <row r="3" spans="1:47" x14ac:dyDescent="0.15">
      <c r="A3" s="64"/>
      <c r="B3" s="236" t="s">
        <v>446</v>
      </c>
      <c r="C3" s="237"/>
      <c r="D3" s="237"/>
      <c r="E3" s="237"/>
      <c r="F3" s="236" t="s">
        <v>447</v>
      </c>
      <c r="G3" s="238"/>
      <c r="H3" s="68" t="s">
        <v>318</v>
      </c>
      <c r="I3" s="68" t="s">
        <v>261</v>
      </c>
      <c r="J3" s="68" t="s">
        <v>262</v>
      </c>
      <c r="K3" s="68" t="s">
        <v>257</v>
      </c>
      <c r="L3" s="68" t="s">
        <v>319</v>
      </c>
      <c r="M3" s="71" t="s">
        <v>220</v>
      </c>
      <c r="N3" s="71" t="s">
        <v>457</v>
      </c>
      <c r="O3" s="71" t="s">
        <v>327</v>
      </c>
      <c r="P3" s="71" t="s">
        <v>328</v>
      </c>
      <c r="Q3" s="71" t="s">
        <v>326</v>
      </c>
      <c r="R3" s="71" t="s">
        <v>325</v>
      </c>
      <c r="S3" s="71" t="s">
        <v>324</v>
      </c>
      <c r="T3" s="71" t="s">
        <v>323</v>
      </c>
      <c r="U3" s="87" t="s">
        <v>322</v>
      </c>
      <c r="V3" s="69" t="s">
        <v>262</v>
      </c>
      <c r="W3" s="69" t="s">
        <v>321</v>
      </c>
      <c r="X3" s="84" t="s">
        <v>320</v>
      </c>
      <c r="Y3" s="69" t="s">
        <v>263</v>
      </c>
      <c r="Z3" s="64"/>
      <c r="AA3" s="179" t="s">
        <v>464</v>
      </c>
      <c r="AB3" s="179"/>
      <c r="AC3" s="77" t="s">
        <v>465</v>
      </c>
      <c r="AD3" s="77" t="s">
        <v>450</v>
      </c>
      <c r="AE3" s="77" t="s">
        <v>451</v>
      </c>
      <c r="AF3" s="77" t="s">
        <v>452</v>
      </c>
      <c r="AG3" s="77" t="s">
        <v>453</v>
      </c>
      <c r="AH3" s="77" t="s">
        <v>454</v>
      </c>
      <c r="AI3" s="78" t="s">
        <v>455</v>
      </c>
      <c r="AJ3" s="78" t="s">
        <v>456</v>
      </c>
      <c r="AK3" s="78" t="s">
        <v>458</v>
      </c>
      <c r="AL3" s="78" t="s">
        <v>459</v>
      </c>
      <c r="AM3" s="78" t="s">
        <v>460</v>
      </c>
      <c r="AN3" s="78" t="s">
        <v>461</v>
      </c>
      <c r="AO3" s="78" t="s">
        <v>462</v>
      </c>
      <c r="AP3" s="78" t="s">
        <v>463</v>
      </c>
      <c r="AQ3" s="72"/>
      <c r="AR3" s="72"/>
      <c r="AS3" s="72"/>
      <c r="AT3" s="72"/>
      <c r="AU3" s="64"/>
    </row>
    <row r="4" spans="1:47" x14ac:dyDescent="0.15">
      <c r="A4" s="64"/>
      <c r="B4" s="219" t="str">
        <f ca="1">IF(INDIRECT("基本ステータス!D"&amp;(MATCH($F$2,基本ステータス!$C$1:$C$1008,0)))="","",INDIRECT("基本ステータス!D"&amp;(MATCH($F$2,基本ステータス!$C$1:$C$1008,0))))</f>
        <v>デスタムーア3</v>
      </c>
      <c r="C4" s="212"/>
      <c r="D4" s="212"/>
      <c r="E4" s="220"/>
      <c r="F4" s="239">
        <f ca="1">IF($B4="","",INDIRECT("ボス!C"&amp;(MATCH($B4,ボス!$B$1:$B$500,0))))</f>
        <v>2500</v>
      </c>
      <c r="G4" s="239"/>
      <c r="H4" s="73">
        <f ca="1">IF($B4="","",INDIRECT("ボス!D"&amp;(MATCH($B4,ボス!$B$1:$B$500,0))))</f>
        <v>254</v>
      </c>
      <c r="I4" s="73">
        <f ca="1">IF($B4="","",INDIRECT("ボス!E"&amp;(MATCH($B4,ボス!$B$1:$B$500,0))))</f>
        <v>300</v>
      </c>
      <c r="J4" s="73">
        <f ca="1">IF($B4="","",INDIRECT("ボス!F"&amp;(MATCH($B4,ボス!$B$1:$B$500,0))))</f>
        <v>340</v>
      </c>
      <c r="K4" s="73">
        <f ca="1">IF($B4="","",INDIRECT("ボス!G"&amp;(MATCH($B4,ボス!$B$1:$B$500,0))))</f>
        <v>120</v>
      </c>
      <c r="L4" s="73">
        <f ca="1">IF($B4="","",INDIRECT("ボス!H"&amp;(MATCH($B4,ボス!$B$1:$B$500,0))))</f>
        <v>0</v>
      </c>
      <c r="M4" s="73">
        <f ca="1">IF($B4="","",INDIRECT("ボス!K"&amp;(MATCH($B4,ボス!$B$1:$B$500,0))))</f>
        <v>0</v>
      </c>
      <c r="N4" s="73">
        <f ca="1">IF($B4="","",INDIRECT("ボス!L"&amp;(MATCH($B4,ボス!$B$1:$B$500,0))))</f>
        <v>2</v>
      </c>
      <c r="O4" s="73">
        <f ca="1">IF($B4="","",INDIRECT("ボス!M"&amp;(MATCH($B4,ボス!$B$1:$B$500,0))))</f>
        <v>1</v>
      </c>
      <c r="P4" s="73">
        <f ca="1">IF($B4="","",INDIRECT("ボス!N"&amp;(MATCH($B4,ボス!$B$1:$B$500,0))))</f>
        <v>2</v>
      </c>
      <c r="Q4" s="73">
        <f ca="1">IF($B4="","",INDIRECT("ボス!O"&amp;(MATCH($B4,ボス!$B$1:$B$500,0))))</f>
        <v>2</v>
      </c>
      <c r="R4" s="73">
        <f ca="1">IF($B4="","",INDIRECT("ボス!P"&amp;(MATCH($B4,ボス!$B$1:$B$500,0))))</f>
        <v>2</v>
      </c>
      <c r="S4" s="73">
        <f ca="1">IF($B4="","",INDIRECT("ボス!Q"&amp;(MATCH($B4,ボス!$B$1:$B$500,0))))</f>
        <v>2</v>
      </c>
      <c r="T4" s="73">
        <f ca="1">IF($B4="","",INDIRECT("ボス!R"&amp;(MATCH($B4,ボス!$B$1:$B$500,0))))</f>
        <v>1</v>
      </c>
      <c r="U4" s="73">
        <f ca="1">IF($B4="","",INDIRECT("ボス!S"&amp;(MATCH($B4,ボス!$B$1:$B$500,0))))</f>
        <v>3</v>
      </c>
      <c r="V4" s="73">
        <f ca="1">IF($B4="","",INDIRECT("ボス!T"&amp;(MATCH($B4,ボス!$B$1:$B$500,0))))</f>
        <v>3</v>
      </c>
      <c r="W4" s="73">
        <f ca="1">IF($B4="","",INDIRECT("ボス!U"&amp;(MATCH($B4,ボス!$B$1:$B$500,0))))</f>
        <v>3</v>
      </c>
      <c r="X4" s="73">
        <f ca="1">IF($B4="","",INDIRECT("ボス!V"&amp;(MATCH($B4,ボス!$B$1:$B$500,0))))</f>
        <v>3</v>
      </c>
      <c r="Y4" s="74">
        <f ca="1">IF($B4="","",INDIRECT("ボス!W"&amp;(MATCH($B4,ボス!$B$1:$B$500,0))))</f>
        <v>3</v>
      </c>
      <c r="Z4" s="64"/>
      <c r="AA4" s="221" t="str">
        <f ca="1">IF(INDIRECT("基本ステータス!E"&amp;(MATCH($F$2,基本ステータス!$C$1:$C$9008,0)))="","",INDIRECT("基本ステータス!E"&amp;(MATCH($F$2,基本ステータス!$C$1:$C$9008,0))))</f>
        <v>主人公</v>
      </c>
      <c r="AB4" s="222"/>
      <c r="AC4" s="83">
        <f ca="1">IF($AA4="","",INDIRECT("基本ステータス!F"&amp;(MATCH($F$2,基本ステータス!$C$1:$C$1005,0))))</f>
        <v>22</v>
      </c>
      <c r="AD4" s="76">
        <f ca="1">IF($AA4="","",ROUNDDOWN((INDIRECT($AA4&amp;"!C"&amp;($AC4)+3)+ROUNDDOWN(INDIRECT("基本ステータス!N"&amp;(MATCH($F$2,基本ステータス!$C$1:$C$1005,0)))*4,0))*INDIRECT("職業!C"&amp;(MATCH(INDIRECT("基本ステータス!S"&amp;(MATCH($F$2,基本ステータス!$C$1:$C$1005,0))),職業リスト,0))+3),0))</f>
        <v>184</v>
      </c>
      <c r="AE4" s="76">
        <f ca="1">IF($AA4="","",ROUNDDOWN((INDIRECT($AA4&amp;"!d"&amp;($AC4)+3)+ROUNDDOWN(INDIRECT("基本ステータス!O"&amp;(MATCH($F$2,基本ステータス!$C$1:$C$1005,0)))*4,0))*INDIRECT("職業!D"&amp;(MATCH(INDIRECT("基本ステータス!S"&amp;(MATCH($F$2,基本ステータス!$C$1:$C$1005,0))),職業リスト,0))+3),0))</f>
        <v>37</v>
      </c>
      <c r="AF4" s="76">
        <f ca="1">IF($AA4="","",ROUNDDOWN((INDIRECT($AA4&amp;"!e"&amp;($AC4)+3)+ROUNDDOWN(INDIRECT("基本ステータス!P"&amp;(MATCH($F$2,基本ステータス!$C$1:$C$1005,0)))*4,0))*INDIRECT("職業!E"&amp;(MATCH(INDIRECT("基本ステータス!S"&amp;(MATCH($F$2,基本ステータス!$C$1:$C$1005,0))),職業リスト,0))+3),0)+INDIRECT("装備!C"&amp;MATCH(INDIRECT("基本ステータス!G"&amp;(MATCH($F$2,基本ステータス!$C$1:$C$1005,0))),武器リスト,0)+2)+INDIRECT("装備!R"&amp;MATCH(INDIRECT("基本ステータス!L"&amp;(MATCH($F$2,基本ステータス!$C$1:$C$1005,0))),装飾品Bリスト,0)+2))</f>
        <v>202</v>
      </c>
      <c r="AG4" s="76">
        <f ca="1">IF($AA4="","",ROUNDDOWN((INDIRECT($AA4&amp;"!f"&amp;($AC4)+3)+ROUNDDOWN(INDIRECT("基本ステータス!Q"&amp;(MATCH($F$2,基本ステータス!$C$1:$C$1005,0)))*4,0))*INDIRECT("職業!F"&amp;(MATCH(INDIRECT("基本ステータス!S"&amp;(MATCH($F$2,基本ステータス!$C$1:$C$1005,0))),職業リスト,0))+3),0)+INDIRECT("装備!F"&amp;MATCH(INDIRECT("基本ステータス!H"&amp;(MATCH($F$2,基本ステータス!$C$1:$C$908,0))),鎧リスト,0)+2)+INDIRECT("装備!I"&amp;MATCH(INDIRECT("基本ステータス!I"&amp;(MATCH($F$2,基本ステータス!$C$1:$C$908,0))),盾リスト,0)+2)+INDIRECT("装備!L"&amp;MATCH(INDIRECT("基本ステータス!J"&amp;(MATCH($F$2,基本ステータス!$C$1:$C$908,0))),兜リスト,0)+2)+INDIRECT("装備!O"&amp;MATCH(INDIRECT("基本ステータス!K"&amp;(MATCH($F$2,基本ステータス!$C$1:$C$908,0))),装飾品Aリスト,0)+2))</f>
        <v>217</v>
      </c>
      <c r="AH4" s="76">
        <f ca="1">IF($AA4="","",(ROUNDDOWN((INDIRECT($AA4&amp;"!G"&amp;($AC4)+3)+ROUNDDOWN(INDIRECT("基本ステータス!R"&amp;(MATCH($F$2,基本ステータス!$C$1:$C$1005,0)))*2,0))*INDIRECT("職業!G"&amp;(MATCH(INDIRECT("基本ステータス!S"&amp;(MATCH($F$2,基本ステータス!$C$1:$C$1005,0))),職業リスト,0))+3),0)+INDIRECT("装備!U"&amp;MATCH(INDIRECT("基本ステータス!M"&amp;(MATCH($F$2,基本ステータス!$C$1:$C$908,0))),装飾品Cリスト,0)+2)-IF(INDIRECT("装備!U"&amp;MATCH(INDIRECT("基本ステータス!M"&amp;(MATCH($F$2,基本ステータス!$C$1:$C$908,0))),装飾品Cリスト,0)+2)=999,INDIRECT("装備!U"&amp;MATCH(INDIRECT("基本ステータス!M"&amp;(MATCH($F$2,基本ステータス!$C$1:$C$908,0))),装飾品Cリスト,0)+2),0))*IF(INDIRECT("装備!U"&amp;MATCH(INDIRECT("基本ステータス!M"&amp;(MATCH($F$2,基本ステータス!$C$1:$C$908,0))),装飾品Cリスト,0)+2)=999,2,1))</f>
        <v>117</v>
      </c>
      <c r="AI4" s="76">
        <f ca="1">IF($AA4="","",IFERROR((VLOOKUP(INDIRECT("基本ステータス!H"&amp;(MATCH($F$2,基本ステータス!$C$1:$C$1005,0))),耐性,2,0)),0)+IFERROR((VLOOKUP(INDIRECT("基本ステータス!I"&amp;(MATCH($F$2,基本ステータス!$C$1:$C$1005,0))),耐性,2,0)),0))</f>
        <v>35</v>
      </c>
      <c r="AJ4" s="76">
        <f ca="1">IF($AA4="","",IFERROR((VLOOKUP(INDIRECT("基本ステータス!I"&amp;(MATCH($F$2,基本ステータス!$C$1:$C$1005,0))),耐性,3,0)),0)+IFERROR((VLOOKUP(INDIRECT("基本ステータス!H"&amp;(MATCH($F$2,基本ステータス!$C$1:$C$1005,0))),耐性,3,0)),0))</f>
        <v>30</v>
      </c>
      <c r="AK4" s="76">
        <f ca="1">IF($AA4="","",IFERROR((VLOOKUP(INDIRECT("基本ステータス!I"&amp;(MATCH($F$2,基本ステータス!$C$1:$C$1005,0))),耐性,4,0)),0)+IFERROR((VLOOKUP(INDIRECT("基本ステータス!H"&amp;(MATCH($F$2,基本ステータス!$C$1:$C$1005,0))),耐性,4,0)),0))</f>
        <v>35</v>
      </c>
      <c r="AL4" s="76">
        <f ca="1">IF($AA4="","",IFERROR((VLOOKUP(INDIRECT("基本ステータス!I"&amp;(MATCH($F$2,基本ステータス!$C$1:$C$1005,0))),耐性,5,0)),0)+IFERROR((VLOOKUP(INDIRECT("基本ステータス!H"&amp;(MATCH($F$2,基本ステータス!$C$1:$C$1005,0))),耐性,5,0)),0))</f>
        <v>35</v>
      </c>
      <c r="AM4" s="76">
        <f ca="1">IF($AA4="","",IFERROR((VLOOKUP(INDIRECT("基本ステータス!I"&amp;(MATCH($F$2,基本ステータス!$C$1:$C$1005,0))),耐性,6,0)),0)+IFERROR((VLOOKUP(INDIRECT("基本ステータス!H"&amp;(MATCH($F$2,基本ステータス!$C$1:$C$1005,0))),耐性,6,0)),0))</f>
        <v>35</v>
      </c>
      <c r="AN4" s="76">
        <f ca="1">IF($AA4="","",IFERROR((VLOOKUP(INDIRECT("基本ステータス!I"&amp;(MATCH($F$2,基本ステータス!$C$1:$C$1005,0))),耐性,7,0)),0)+IFERROR((VLOOKUP(INDIRECT("基本ステータス!H"&amp;(MATCH($F$2,基本ステータス!$C$1:$C$1005,0))),耐性,7,0)),0))</f>
        <v>30</v>
      </c>
      <c r="AO4" s="76">
        <f ca="1">IF($AA4="","",IFERROR((VLOOKUP(INDIRECT("基本ステータス!I"&amp;(MATCH($F$2,基本ステータス!$C$1:$C$1005,0))),耐性,8,0)),0)+IFERROR((VLOOKUP(INDIRECT("基本ステータス!H"&amp;(MATCH($F$2,基本ステータス!$C$1:$C$1005,0))),耐性,8,0)),0))</f>
        <v>0</v>
      </c>
      <c r="AP4" s="124">
        <f ca="1">IF($AA4="","",IFERROR((VLOOKUP(INDIRECT("基本ステータス!I"&amp;(MATCH($F$2,基本ステータス!$C$1:$C$1005,0))),耐性,9,0)),0)+IFERROR((VLOOKUP(INDIRECT("基本ステータス!H"&amp;(MATCH($F$2,基本ステータス!$C$1:$C$1005,0))),耐性,9,0)),0))</f>
        <v>0</v>
      </c>
      <c r="AQ4" s="72"/>
      <c r="AR4" s="72"/>
      <c r="AS4" s="72"/>
      <c r="AT4" s="72"/>
      <c r="AU4" s="126"/>
    </row>
    <row r="5" spans="1:47" x14ac:dyDescent="0.15">
      <c r="A5" s="64"/>
      <c r="B5" s="219" t="str">
        <f ca="1">IF(INDIRECT("基本ステータス!D"&amp;(MATCH($F$2,基本ステータス!$C$1:$C$1008,0))+1)="","",INDIRECT("基本ステータス!D"&amp;(MATCH($F$2,基本ステータス!$C$1:$C$1008,0))+1))</f>
        <v>デスタムーア3</v>
      </c>
      <c r="C5" s="212"/>
      <c r="D5" s="212"/>
      <c r="E5" s="220"/>
      <c r="F5" s="239">
        <f ca="1">IF($B5="","",INDIRECT("ボス!C"&amp;(MATCH($B5,ボス!$B$1:$B$500,0))))</f>
        <v>2500</v>
      </c>
      <c r="G5" s="239"/>
      <c r="H5" s="73">
        <f ca="1">IF($B5="","",INDIRECT("ボス!D"&amp;(MATCH($B5,ボス!$B$1:$B$500,0))))</f>
        <v>254</v>
      </c>
      <c r="I5" s="73">
        <f ca="1">IF($B5="","",INDIRECT("ボス!E"&amp;(MATCH($B5,ボス!$B$1:$B$500,0))))</f>
        <v>300</v>
      </c>
      <c r="J5" s="73">
        <f ca="1">IF($B5="","",INDIRECT("ボス!F"&amp;(MATCH($B5,ボス!$B$1:$B$500,0))))</f>
        <v>340</v>
      </c>
      <c r="K5" s="73">
        <f ca="1">IF($B5="","",INDIRECT("ボス!G"&amp;(MATCH($B5,ボス!$B$1:$B$500,0))))</f>
        <v>120</v>
      </c>
      <c r="L5" s="73">
        <f ca="1">IF($B5="","",INDIRECT("ボス!H"&amp;(MATCH($B5,ボス!$B$1:$B$500,0))))</f>
        <v>0</v>
      </c>
      <c r="M5" s="73">
        <f ca="1">IF($B5="","",INDIRECT("ボス!K"&amp;(MATCH($B5,ボス!$B$1:$B$500,0))))</f>
        <v>0</v>
      </c>
      <c r="N5" s="73">
        <f ca="1">IF($B5="","",INDIRECT("ボス!L"&amp;(MATCH($B5,ボス!$B$1:$B$500,0))))</f>
        <v>2</v>
      </c>
      <c r="O5" s="73">
        <f ca="1">IF($B5="","",INDIRECT("ボス!M"&amp;(MATCH($B5,ボス!$B$1:$B$500,0))))</f>
        <v>1</v>
      </c>
      <c r="P5" s="73">
        <f ca="1">IF($B5="","",INDIRECT("ボス!N"&amp;(MATCH($B5,ボス!$B$1:$B$500,0))))</f>
        <v>2</v>
      </c>
      <c r="Q5" s="73">
        <f ca="1">IF($B5="","",INDIRECT("ボス!O"&amp;(MATCH($B5,ボス!$B$1:$B$500,0))))</f>
        <v>2</v>
      </c>
      <c r="R5" s="73">
        <f ca="1">IF($B5="","",INDIRECT("ボス!P"&amp;(MATCH($B5,ボス!$B$1:$B$500,0))))</f>
        <v>2</v>
      </c>
      <c r="S5" s="73">
        <f ca="1">IF($B5="","",INDIRECT("ボス!Q"&amp;(MATCH($B5,ボス!$B$1:$B$500,0))))</f>
        <v>2</v>
      </c>
      <c r="T5" s="73">
        <f ca="1">IF($B5="","",INDIRECT("ボス!R"&amp;(MATCH($B5,ボス!$B$1:$B$500,0))))</f>
        <v>1</v>
      </c>
      <c r="U5" s="73">
        <f ca="1">IF($B5="","",INDIRECT("ボス!S"&amp;(MATCH($B5,ボス!$B$1:$B$500,0))))</f>
        <v>3</v>
      </c>
      <c r="V5" s="73">
        <f ca="1">IF($B5="","",INDIRECT("ボス!T"&amp;(MATCH($B5,ボス!$B$1:$B$500,0))))</f>
        <v>3</v>
      </c>
      <c r="W5" s="73">
        <f ca="1">IF($B5="","",INDIRECT("ボス!U"&amp;(MATCH($B5,ボス!$B$1:$B$500,0))))</f>
        <v>3</v>
      </c>
      <c r="X5" s="73">
        <f ca="1">IF($B5="","",INDIRECT("ボス!V"&amp;(MATCH($B5,ボス!$B$1:$B$500,0))))</f>
        <v>3</v>
      </c>
      <c r="Y5" s="74">
        <f ca="1">IF($B5="","",INDIRECT("ボス!W"&amp;(MATCH($B5,ボス!$B$1:$B$500,0))))</f>
        <v>3</v>
      </c>
      <c r="Z5" s="64"/>
      <c r="AA5" s="221" t="str">
        <f ca="1">IF(INDIRECT("基本ステータス!E"&amp;(MATCH($F$2,基本ステータス!$C$1:$C$9008,0))+1)="","",INDIRECT("基本ステータス!E"&amp;(MATCH($F$2,基本ステータス!$C$1:$C$9008,0))+1))</f>
        <v>ハッサン</v>
      </c>
      <c r="AB5" s="222"/>
      <c r="AC5" s="83">
        <f ca="1">IF($AA5="","",INDIRECT("基本ステータス!F"&amp;(MATCH($F$2,基本ステータス!$C$1:$C$1005,0))+1))</f>
        <v>23</v>
      </c>
      <c r="AD5" s="76">
        <f ca="1">IF($AA5="","",ROUNDDOWN((INDIRECT($AA5&amp;"!C"&amp;($AC5)+3)+ROUNDDOWN(INDIRECT("基本ステータス!N"&amp;(MATCH($F$2,基本ステータス!$C$1:$C$1005,0))+1)*4,0))*INDIRECT("職業!C"&amp;(MATCH(INDIRECT("基本ステータス!S"&amp;(MATCH($F$2,基本ステータス!$C$1:$C$1005,0))+1),職業リスト,0))+3),0))</f>
        <v>291</v>
      </c>
      <c r="AE5" s="76">
        <f ca="1">IF($AA5="","",ROUNDDOWN((INDIRECT($AA5&amp;"!d"&amp;($AC5)+3)+ROUNDDOWN(INDIRECT("基本ステータス!O"&amp;(MATCH($F$2,基本ステータス!$C$1:$C$1005,0))+1)*4,0))*INDIRECT("職業!D"&amp;(MATCH(INDIRECT("基本ステータス!S"&amp;(MATCH($F$2,基本ステータス!$C$1:$C$1005,0))+1),職業リスト,0))+3),0))</f>
        <v>47</v>
      </c>
      <c r="AF5" s="76">
        <f ca="1">IF($AA5="","",ROUNDDOWN((INDIRECT($AA5&amp;"!e"&amp;($AC5)+3)+ROUNDDOWN(INDIRECT("基本ステータス!P"&amp;(MATCH($F$2,基本ステータス!$C$1:$C$1005,0))+1)*4,0))*INDIRECT("職業!E"&amp;(MATCH(INDIRECT("基本ステータス!S"&amp;(MATCH($F$2,基本ステータス!$C$1:$C$1005,0))+1),職業リスト,0))+3),0)+INDIRECT("装備!C"&amp;MATCH(INDIRECT("基本ステータス!G"&amp;(MATCH($F$2,基本ステータス!$C$1:$C$1005,0))+1),武器リスト,0)+2)+INDIRECT("装備!R"&amp;MATCH(INDIRECT("基本ステータス!L"&amp;(MATCH($F$2,基本ステータス!$C$1:$C$1005,0))+1),装飾品Bリスト,0)+2))</f>
        <v>291</v>
      </c>
      <c r="AG5" s="76">
        <f ca="1">IF($AA5="","",ROUNDDOWN((INDIRECT($AA5&amp;"!f"&amp;($AC5)+3)+ROUNDDOWN(INDIRECT("基本ステータス!Q"&amp;(MATCH($F$2,基本ステータス!$C$1:$C$1005,0))+1)*4,0))*INDIRECT("職業!F"&amp;(MATCH(INDIRECT("基本ステータス!S"&amp;(MATCH($F$2,基本ステータス!$C$1:$C$1005,0))+1),職業リスト,0))+3),0)+INDIRECT("装備!F"&amp;MATCH(INDIRECT("基本ステータス!H"&amp;(MATCH($F$2,基本ステータス!$C$1:$C$908,0))+1),鎧リスト,0)+2)+INDIRECT("装備!I"&amp;MATCH(INDIRECT("基本ステータス!I"&amp;(MATCH($F$2,基本ステータス!$C$1:$C$908,0))+1),盾リスト,0)+2)+INDIRECT("装備!L"&amp;MATCH(INDIRECT("基本ステータス!J"&amp;(MATCH($F$2,基本ステータス!$C$1:$C$908,0))+1),兜リスト,0)+2)+INDIRECT("装備!O"&amp;MATCH(INDIRECT("基本ステータス!K"&amp;(MATCH($F$2,基本ステータス!$C$1:$C$908,0))+1),装飾品Aリスト,0)+2))</f>
        <v>276</v>
      </c>
      <c r="AH5" s="76">
        <f ca="1">IF($AA5="","",(ROUNDDOWN((INDIRECT($AA5&amp;"!G"&amp;($AC5)+3)+ROUNDDOWN(INDIRECT("基本ステータス!R"&amp;(MATCH($F$2,基本ステータス!$C$1:$C$1005,0))+1)*2,0))*INDIRECT("職業!G"&amp;(MATCH(INDIRECT("基本ステータス!S"&amp;(MATCH($F$2,基本ステータス!$C$1:$C$1005,0))+1),職業リスト,0))+3),0)+INDIRECT("装備!U"&amp;MATCH(INDIRECT("基本ステータス!M"&amp;(MATCH($F$2,基本ステータス!$C$1:$C$908,0))+1),装飾品Cリスト,0)+2)-IF(INDIRECT("装備!U"&amp;MATCH(INDIRECT("基本ステータス!M"&amp;(MATCH($F$2,基本ステータス!$C$1:$C$908,0))+1),装飾品Cリスト,0)+2)=999,INDIRECT("装備!U"&amp;MATCH(INDIRECT("基本ステータス!M"&amp;(MATCH($F$2,基本ステータス!$C$1:$C$908,0))+1),装飾品Cリスト,0)+2),0))*IF(INDIRECT("装備!U"&amp;MATCH(INDIRECT("基本ステータス!M"&amp;(MATCH($F$2,基本ステータス!$C$1:$C$908,0))+1),装飾品Cリスト,0)+2)=999,2,1))</f>
        <v>46</v>
      </c>
      <c r="AI5" s="76">
        <f ca="1">IF($AA5="","",IFERROR((VLOOKUP(INDIRECT("基本ステータス!H"&amp;(MATCH($F$2,基本ステータス!$C$1:$C$1005,0))+1),耐性,2,0)),0)+IFERROR((VLOOKUP(INDIRECT("基本ステータス!I"&amp;(MATCH($F$2,基本ステータス!$C$1:$C$1005,0))+1),耐性,2,0)),0))</f>
        <v>15</v>
      </c>
      <c r="AJ5" s="76">
        <f ca="1">IF($AA5="","",IFERROR((VLOOKUP(INDIRECT("基本ステータス!H"&amp;(MATCH($F$2,基本ステータス!$C$1:$C$1005,0))+1),耐性,3,0)),0)+IFERROR((VLOOKUP(INDIRECT("基本ステータス!I"&amp;(MATCH($F$2,基本ステータス!$C$1:$C$1005,0))+1),耐性,3,0)),0))</f>
        <v>0</v>
      </c>
      <c r="AK5" s="76">
        <f ca="1">IF($AA5="","",IFERROR((VLOOKUP(INDIRECT("基本ステータス!H"&amp;(MATCH($F$2,基本ステータス!$C$1:$C$1005,0))+1),耐性,4,0)),0)+IFERROR((VLOOKUP(INDIRECT("基本ステータス!I"&amp;(MATCH($F$2,基本ステータス!$C$1:$C$1005,0))+1),耐性,4,0)),0))</f>
        <v>15</v>
      </c>
      <c r="AL5" s="76">
        <f ca="1">IF($AA5="","",IFERROR((VLOOKUP(INDIRECT("基本ステータス!H"&amp;(MATCH($F$2,基本ステータス!$C$1:$C$1005,0))+1),耐性,5,0)),0)+IFERROR((VLOOKUP(INDIRECT("基本ステータス!I"&amp;(MATCH($F$2,基本ステータス!$C$1:$C$1005,0))+1),耐性,5,0)),0))</f>
        <v>15</v>
      </c>
      <c r="AM5" s="76">
        <f ca="1">IF($AA5="","",IFERROR((VLOOKUP(INDIRECT("基本ステータス!H"&amp;(MATCH($F$2,基本ステータス!$C$1:$C$1005,0))+1),耐性,6,0)),0)+IFERROR((VLOOKUP(INDIRECT("基本ステータス!I"&amp;(MATCH($F$2,基本ステータス!$C$1:$C$1005,0))+1),耐性,6,0)),0))</f>
        <v>15</v>
      </c>
      <c r="AN5" s="76">
        <f ca="1">IF($AA5="","",IFERROR((VLOOKUP(INDIRECT("基本ステータス!H"&amp;(MATCH($F$2,基本ステータス!$C$1:$C$1005,0))+1),耐性,7,0)),0)+IFERROR((VLOOKUP(INDIRECT("基本ステータス!I"&amp;(MATCH($F$2,基本ステータス!$C$1:$C$1005,0))+1),耐性,7,0)),0))</f>
        <v>0</v>
      </c>
      <c r="AO5" s="76">
        <f ca="1">IF($AA5="","",IFERROR((VLOOKUP(INDIRECT("基本ステータス!H"&amp;(MATCH($F$2,基本ステータス!$C$1:$C$1005,0))+1),耐性,8,0)),0)+IFERROR((VLOOKUP(INDIRECT("基本ステータス!I"&amp;(MATCH($F$2,基本ステータス!$C$1:$C$1005,0))+1),耐性,8,0)),0))</f>
        <v>0</v>
      </c>
      <c r="AP5" s="125">
        <f ca="1">IF($AA5="","",IFERROR((VLOOKUP(INDIRECT("基本ステータス!H"&amp;(MATCH($F$2,基本ステータス!$C$1:$C$1005,0))+1),耐性,9,0)),0)+IFERROR((VLOOKUP(INDIRECT("基本ステータス!I"&amp;(MATCH($F$2,基本ステータス!$C$1:$C$1005,0))+1),耐性,9,0)),0))</f>
        <v>0</v>
      </c>
      <c r="AQ5" s="72"/>
      <c r="AR5" s="72"/>
      <c r="AS5" s="72"/>
      <c r="AT5" s="72"/>
      <c r="AU5" s="92"/>
    </row>
    <row r="6" spans="1:47" x14ac:dyDescent="0.15">
      <c r="A6" s="64"/>
      <c r="B6" s="219" t="str">
        <f ca="1">IF(INDIRECT("基本ステータス!D"&amp;(MATCH($F$2,基本ステータス!$C$1:$C$1008,0))+2)="","",INDIRECT("基本ステータス!D"&amp;(MATCH($F$2,基本ステータス!$C$1:$C$1008,0))+2))</f>
        <v>デスタムーア3</v>
      </c>
      <c r="C6" s="212"/>
      <c r="D6" s="212"/>
      <c r="E6" s="220"/>
      <c r="F6" s="239">
        <f ca="1">IF($B6="","",INDIRECT("ボス!C"&amp;(MATCH($B6,ボス!$B$1:$B$500,0))))</f>
        <v>2500</v>
      </c>
      <c r="G6" s="239"/>
      <c r="H6" s="73">
        <f ca="1">IF($B6="","",INDIRECT("ボス!D"&amp;(MATCH($B6,ボス!$B$1:$B$500,0))))</f>
        <v>254</v>
      </c>
      <c r="I6" s="73">
        <f ca="1">IF($B6="","",INDIRECT("ボス!E"&amp;(MATCH($B6,ボス!$B$1:$B$500,0))))</f>
        <v>300</v>
      </c>
      <c r="J6" s="73">
        <f ca="1">IF($B6="","",INDIRECT("ボス!F"&amp;(MATCH($B6,ボス!$B$1:$B$500,0))))</f>
        <v>340</v>
      </c>
      <c r="K6" s="73">
        <f ca="1">IF($B6="","",INDIRECT("ボス!G"&amp;(MATCH($B6,ボス!$B$1:$B$500,0))))</f>
        <v>120</v>
      </c>
      <c r="L6" s="73">
        <f ca="1">IF($B6="","",INDIRECT("ボス!H"&amp;(MATCH($B6,ボス!$B$1:$B$500,0))))</f>
        <v>0</v>
      </c>
      <c r="M6" s="73">
        <f ca="1">IF($B6="","",INDIRECT("ボス!K"&amp;(MATCH($B6,ボス!$B$1:$B$500,0))))</f>
        <v>0</v>
      </c>
      <c r="N6" s="73">
        <f ca="1">IF($B6="","",INDIRECT("ボス!L"&amp;(MATCH($B6,ボス!$B$1:$B$500,0))))</f>
        <v>2</v>
      </c>
      <c r="O6" s="73">
        <f ca="1">IF($B6="","",INDIRECT("ボス!M"&amp;(MATCH($B6,ボス!$B$1:$B$500,0))))</f>
        <v>1</v>
      </c>
      <c r="P6" s="73">
        <f ca="1">IF($B6="","",INDIRECT("ボス!N"&amp;(MATCH($B6,ボス!$B$1:$B$500,0))))</f>
        <v>2</v>
      </c>
      <c r="Q6" s="73">
        <f ca="1">IF($B6="","",INDIRECT("ボス!O"&amp;(MATCH($B6,ボス!$B$1:$B$500,0))))</f>
        <v>2</v>
      </c>
      <c r="R6" s="73">
        <f ca="1">IF($B6="","",INDIRECT("ボス!P"&amp;(MATCH($B6,ボス!$B$1:$B$500,0))))</f>
        <v>2</v>
      </c>
      <c r="S6" s="73">
        <f ca="1">IF($B6="","",INDIRECT("ボス!Q"&amp;(MATCH($B6,ボス!$B$1:$B$500,0))))</f>
        <v>2</v>
      </c>
      <c r="T6" s="73">
        <f ca="1">IF($B6="","",INDIRECT("ボス!R"&amp;(MATCH($B6,ボス!$B$1:$B$500,0))))</f>
        <v>1</v>
      </c>
      <c r="U6" s="73">
        <f ca="1">IF($B6="","",INDIRECT("ボス!S"&amp;(MATCH($B6,ボス!$B$1:$B$500,0))))</f>
        <v>3</v>
      </c>
      <c r="V6" s="73">
        <f ca="1">IF($B6="","",INDIRECT("ボス!T"&amp;(MATCH($B6,ボス!$B$1:$B$500,0))))</f>
        <v>3</v>
      </c>
      <c r="W6" s="73">
        <f ca="1">IF($B6="","",INDIRECT("ボス!U"&amp;(MATCH($B6,ボス!$B$1:$B$500,0))))</f>
        <v>3</v>
      </c>
      <c r="X6" s="73">
        <f ca="1">IF($B6="","",INDIRECT("ボス!V"&amp;(MATCH($B6,ボス!$B$1:$B$500,0))))</f>
        <v>3</v>
      </c>
      <c r="Y6" s="74">
        <f ca="1">IF($B6="","",INDIRECT("ボス!W"&amp;(MATCH($B6,ボス!$B$1:$B$500,0))))</f>
        <v>3</v>
      </c>
      <c r="Z6" s="64"/>
      <c r="AA6" s="221" t="str">
        <f ca="1">IF(INDIRECT("基本ステータス!E"&amp;(MATCH($F$2,基本ステータス!$C$1:$C$9008,0))+2)="","",INDIRECT("基本ステータス!E"&amp;(MATCH($F$2,基本ステータス!$C$1:$C$9008,0))+2))</f>
        <v>ミレーユ</v>
      </c>
      <c r="AB6" s="222"/>
      <c r="AC6" s="83">
        <f ca="1">IF($AA6="","",INDIRECT("基本ステータス!F"&amp;(MATCH($F$2,基本ステータス!$C$1:$C$1005,0))+2))</f>
        <v>21</v>
      </c>
      <c r="AD6" s="76">
        <f ca="1">IF($AA6="","",ROUNDDOWN((INDIRECT($AA6&amp;"!C"&amp;($AC6)+3)+ROUNDDOWN(INDIRECT("基本ステータス!N"&amp;(MATCH($F$2,基本ステータス!$C$1:$C$1005,0))+2)*4,0))*INDIRECT("職業!C"&amp;(MATCH(INDIRECT("基本ステータス!S"&amp;(MATCH($F$2,基本ステータス!$C$1:$C$1005,0))+2),職業リスト,0))+3),0))</f>
        <v>136</v>
      </c>
      <c r="AE6" s="76">
        <f ca="1">IF($AA6="","",ROUNDDOWN((INDIRECT($AA6&amp;"!d"&amp;($AC6)+3)+ROUNDDOWN(INDIRECT("基本ステータス!O"&amp;(MATCH($F$2,基本ステータス!$C$1:$C$1005,0))+2)*4,0))*INDIRECT("職業!D"&amp;(MATCH(INDIRECT("基本ステータス!S"&amp;(MATCH($F$2,基本ステータス!$C$1:$C$1005,0))+2),職業リスト,0))+3),0))</f>
        <v>98</v>
      </c>
      <c r="AF6" s="76">
        <f ca="1">IF($AA6="","",ROUNDDOWN((INDIRECT($AA6&amp;"!e"&amp;($AC6)+3)+ROUNDDOWN(INDIRECT("基本ステータス!P"&amp;(MATCH($F$2,基本ステータス!$C$1:$C$1005,0))+2)*4,0))*INDIRECT("職業!E"&amp;(MATCH(INDIRECT("基本ステータス!S"&amp;(MATCH($F$2,基本ステータス!$C$1:$C$1005,0))+2),職業リスト,0))+3),0)+INDIRECT("装備!C"&amp;MATCH(INDIRECT("基本ステータス!G"&amp;(MATCH($F$2,基本ステータス!$C$1:$C$1005,0))+2),武器リスト,0)+2)+INDIRECT("装備!R"&amp;MATCH(INDIRECT("基本ステータス!L"&amp;(MATCH($F$2,基本ステータス!$C$1:$C$1005,0))+2),装飾品Bリスト,0)+2))</f>
        <v>44</v>
      </c>
      <c r="AG6" s="76">
        <f ca="1">IF($AA6="","",ROUNDDOWN((INDIRECT($AA6&amp;"!f"&amp;($AC6)+3)+ROUNDDOWN(INDIRECT("基本ステータス!Q"&amp;(MATCH($F$2,基本ステータス!$C$1:$C$1005,0))+2)*4,0))*INDIRECT("職業!F"&amp;(MATCH(INDIRECT("基本ステータス!S"&amp;(MATCH($F$2,基本ステータス!$C$1:$C$1005,0))+2),職業リスト,0))+3),0)+INDIRECT("装備!F"&amp;MATCH(INDIRECT("基本ステータス!H"&amp;(MATCH($F$2,基本ステータス!$C$1:$C$908,0))+2),鎧リスト,0)+2)+INDIRECT("装備!I"&amp;MATCH(INDIRECT("基本ステータス!I"&amp;(MATCH($F$2,基本ステータス!$C$1:$C$908,0))+2),盾リスト,0)+2)+INDIRECT("装備!L"&amp;MATCH(INDIRECT("基本ステータス!J"&amp;(MATCH($F$2,基本ステータス!$C$1:$C$908,0))+2),兜リスト,0)+2)+INDIRECT("装備!O"&amp;MATCH(INDIRECT("基本ステータス!K"&amp;(MATCH($F$2,基本ステータス!$C$1:$C$908,0))+2),装飾品Aリスト,0)+2))</f>
        <v>107</v>
      </c>
      <c r="AH6" s="76">
        <f ca="1">IF($AA6="","",(ROUNDDOWN((INDIRECT($AA6&amp;"!G"&amp;($AC6)+3)+ROUNDDOWN(INDIRECT("基本ステータス!R"&amp;(MATCH($F$2,基本ステータス!$C$1:$C$1005,0))+2)*2,0))*INDIRECT("職業!G"&amp;(MATCH(INDIRECT("基本ステータス!S"&amp;(MATCH($F$2,基本ステータス!$C$1:$C$1005,0))+2),職業リスト,0))+3),0)+INDIRECT("装備!U"&amp;MATCH(INDIRECT("基本ステータス!M"&amp;(MATCH($F$2,基本ステータス!$C$1:$C$908,0))+2),装飾品Cリスト,0)+2)-IF(INDIRECT("装備!U"&amp;MATCH(INDIRECT("基本ステータス!M"&amp;(MATCH($F$2,基本ステータス!$C$1:$C$908,0))+2),装飾品Cリスト,0)+2)=999,INDIRECT("装備!U"&amp;MATCH(INDIRECT("基本ステータス!M"&amp;(MATCH($F$2,基本ステータス!$C$1:$C$908,0))+2),装飾品Cリスト,0)+2),0))*IF(INDIRECT("装備!U"&amp;MATCH(INDIRECT("基本ステータス!M"&amp;(MATCH($F$2,基本ステータス!$C$1:$C$908,0))+2),装飾品Cリスト,0)+2)=999,2,1))</f>
        <v>80</v>
      </c>
      <c r="AI6" s="76">
        <f ca="1">IF($AA6="","",IFERROR((VLOOKUP(INDIRECT("基本ステータス!H"&amp;(MATCH($F$2,基本ステータス!$C$1:$C$1005,0))+2),耐性,2,0)),0)+IFERROR((VLOOKUP(INDIRECT("基本ステータス!I"&amp;(MATCH($F$2,基本ステータス!$C$1:$C$1005,0))+2),耐性,2,0)),0))</f>
        <v>0</v>
      </c>
      <c r="AJ6" s="76">
        <f ca="1">IF($AA6="","",IFERROR((VLOOKUP(INDIRECT("基本ステータス!H"&amp;(MATCH($F$2,基本ステータス!$C$1:$C$1005,0))+2),耐性,3,0)),0)+IFERROR((VLOOKUP(INDIRECT("基本ステータス!I"&amp;(MATCH($F$2,基本ステータス!$C$1:$C$1005,0))+2),耐性,3,0)),0))</f>
        <v>0</v>
      </c>
      <c r="AK6" s="76">
        <f ca="1">IF($AA6="","",IFERROR((VLOOKUP(INDIRECT("基本ステータス!H"&amp;(MATCH($F$2,基本ステータス!$C$1:$C$1005,0))+2),耐性,4,0)),0)+IFERROR((VLOOKUP(INDIRECT("基本ステータス!I"&amp;(MATCH($F$2,基本ステータス!$C$1:$C$1005,0))+2),耐性,4,0)),0))</f>
        <v>0</v>
      </c>
      <c r="AL6" s="76">
        <f ca="1">IF($AA6="","",IFERROR((VLOOKUP(INDIRECT("基本ステータス!H"&amp;(MATCH($F$2,基本ステータス!$C$1:$C$1005,0))+2),耐性,5,0)),0)+IFERROR((VLOOKUP(INDIRECT("基本ステータス!I"&amp;(MATCH($F$2,基本ステータス!$C$1:$C$1005,0))+2),耐性,5,0)),0))</f>
        <v>0</v>
      </c>
      <c r="AM6" s="76">
        <f ca="1">IF($AA6="","",IFERROR((VLOOKUP(INDIRECT("基本ステータス!H"&amp;(MATCH($F$2,基本ステータス!$C$1:$C$1005,0))+2),耐性,6,0)),0)+IFERROR((VLOOKUP(INDIRECT("基本ステータス!I"&amp;(MATCH($F$2,基本ステータス!$C$1:$C$1005,0))+2),耐性,6,0)),0))</f>
        <v>0</v>
      </c>
      <c r="AN6" s="76">
        <f ca="1">IF($AA6="","",IFERROR((VLOOKUP(INDIRECT("基本ステータス!H"&amp;(MATCH($F$2,基本ステータス!$C$1:$C$1005,0))+2),耐性,7,0)),0)+IFERROR((VLOOKUP(INDIRECT("基本ステータス!I"&amp;(MATCH($F$2,基本ステータス!$C$1:$C$1005,0))+2),耐性,7,0)),0))</f>
        <v>0</v>
      </c>
      <c r="AO6" s="76">
        <f ca="1">IF($AA6="","",IFERROR((VLOOKUP(INDIRECT("基本ステータス!H"&amp;(MATCH($F$2,基本ステータス!$C$1:$C$1005,0))+2),耐性,8,0)),0)+IFERROR((VLOOKUP(INDIRECT("基本ステータス!I"&amp;(MATCH($F$2,基本ステータス!$C$1:$C$1005,0))+2),耐性,8,0)),0))</f>
        <v>0</v>
      </c>
      <c r="AP6" s="125">
        <f ca="1">IF($AA6="","",IFERROR((VLOOKUP(INDIRECT("基本ステータス!H"&amp;(MATCH($F$2,基本ステータス!$C$1:$C$1005,0))+2),耐性,9,0)),0)+IFERROR((VLOOKUP(INDIRECT("基本ステータス!I"&amp;(MATCH($F$2,基本ステータス!$C$1:$C$1005,0))+2),耐性,9,0)),0))</f>
        <v>0</v>
      </c>
      <c r="AQ6" s="72"/>
      <c r="AR6" s="72"/>
      <c r="AS6" s="72"/>
      <c r="AT6" s="72"/>
      <c r="AU6" s="126"/>
    </row>
    <row r="7" spans="1:47" x14ac:dyDescent="0.15">
      <c r="A7" s="64"/>
      <c r="B7" s="219" t="str">
        <f ca="1">IF(INDIRECT("基本ステータス!D"&amp;(MATCH($F$2,基本ステータス!$C$1:$C$1008,0))+3)="","",INDIRECT("基本ステータス!D"&amp;(MATCH($F$2,基本ステータス!$C$1:$C$1008,0))+3))</f>
        <v>デスタムーア3</v>
      </c>
      <c r="C7" s="212"/>
      <c r="D7" s="212"/>
      <c r="E7" s="220"/>
      <c r="F7" s="239">
        <f ca="1">IF($B7="","",INDIRECT("ボス!C"&amp;(MATCH($B7,ボス!$B$1:$B$500,0))))</f>
        <v>2500</v>
      </c>
      <c r="G7" s="239"/>
      <c r="H7" s="73">
        <f ca="1">IF($B7="","",INDIRECT("ボス!D"&amp;(MATCH($B7,ボス!$B$1:$B$500,0))))</f>
        <v>254</v>
      </c>
      <c r="I7" s="73">
        <f ca="1">IF($B7="","",INDIRECT("ボス!E"&amp;(MATCH($B7,ボス!$B$1:$B$500,0))))</f>
        <v>300</v>
      </c>
      <c r="J7" s="73">
        <f ca="1">IF($B7="","",INDIRECT("ボス!F"&amp;(MATCH($B7,ボス!$B$1:$B$500,0))))</f>
        <v>340</v>
      </c>
      <c r="K7" s="73">
        <f ca="1">IF($B7="","",INDIRECT("ボス!G"&amp;(MATCH($B7,ボス!$B$1:$B$500,0))))</f>
        <v>120</v>
      </c>
      <c r="L7" s="73">
        <f ca="1">IF($B7="","",INDIRECT("ボス!H"&amp;(MATCH($B7,ボス!$B$1:$B$500,0))))</f>
        <v>0</v>
      </c>
      <c r="M7" s="73">
        <f ca="1">IF($B7="","",INDIRECT("ボス!K"&amp;(MATCH($B7,ボス!$B$1:$B$500,0))))</f>
        <v>0</v>
      </c>
      <c r="N7" s="73">
        <f ca="1">IF($B7="","",INDIRECT("ボス!L"&amp;(MATCH($B7,ボス!$B$1:$B$500,0))))</f>
        <v>2</v>
      </c>
      <c r="O7" s="73">
        <f ca="1">IF($B7="","",INDIRECT("ボス!M"&amp;(MATCH($B7,ボス!$B$1:$B$500,0))))</f>
        <v>1</v>
      </c>
      <c r="P7" s="73">
        <f ca="1">IF($B7="","",INDIRECT("ボス!N"&amp;(MATCH($B7,ボス!$B$1:$B$500,0))))</f>
        <v>2</v>
      </c>
      <c r="Q7" s="73">
        <f ca="1">IF($B7="","",INDIRECT("ボス!O"&amp;(MATCH($B7,ボス!$B$1:$B$500,0))))</f>
        <v>2</v>
      </c>
      <c r="R7" s="73">
        <f ca="1">IF($B7="","",INDIRECT("ボス!P"&amp;(MATCH($B7,ボス!$B$1:$B$500,0))))</f>
        <v>2</v>
      </c>
      <c r="S7" s="73">
        <f ca="1">IF($B7="","",INDIRECT("ボス!Q"&amp;(MATCH($B7,ボス!$B$1:$B$500,0))))</f>
        <v>2</v>
      </c>
      <c r="T7" s="73">
        <f ca="1">IF($B7="","",INDIRECT("ボス!R"&amp;(MATCH($B7,ボス!$B$1:$B$500,0))))</f>
        <v>1</v>
      </c>
      <c r="U7" s="73">
        <f ca="1">IF($B7="","",INDIRECT("ボス!S"&amp;(MATCH($B7,ボス!$B$1:$B$500,0))))</f>
        <v>3</v>
      </c>
      <c r="V7" s="73">
        <f ca="1">IF($B7="","",INDIRECT("ボス!T"&amp;(MATCH($B7,ボス!$B$1:$B$500,0))))</f>
        <v>3</v>
      </c>
      <c r="W7" s="73">
        <f ca="1">IF($B7="","",INDIRECT("ボス!U"&amp;(MATCH($B7,ボス!$B$1:$B$500,0))))</f>
        <v>3</v>
      </c>
      <c r="X7" s="73">
        <f ca="1">IF($B7="","",INDIRECT("ボス!V"&amp;(MATCH($B7,ボス!$B$1:$B$500,0))))</f>
        <v>3</v>
      </c>
      <c r="Y7" s="74">
        <f ca="1">IF($B7="","",INDIRECT("ボス!W"&amp;(MATCH($B7,ボス!$B$1:$B$500,0))))</f>
        <v>3</v>
      </c>
      <c r="Z7" s="64"/>
      <c r="AA7" s="221" t="str">
        <f ca="1">IF(INDIRECT("基本ステータス!E"&amp;(MATCH($F$2,基本ステータス!$C$1:$C$9008,0))+3)="","",INDIRECT("基本ステータス!E"&amp;(MATCH($F$2,基本ステータス!$C$1:$C$9008,0))+3))</f>
        <v>バーバラ</v>
      </c>
      <c r="AB7" s="222"/>
      <c r="AC7" s="83">
        <f ca="1">IF($AA7="","",INDIRECT("基本ステータス!F"&amp;(MATCH($F$2,基本ステータス!$C$1:$C$1005,0))+3))</f>
        <v>17</v>
      </c>
      <c r="AD7" s="76">
        <f ca="1">IF($AA7="","",ROUNDDOWN((INDIRECT($AA7&amp;"!C"&amp;($AC7)+3)+ROUNDDOWN(INDIRECT("基本ステータス!N"&amp;(MATCH($F$2,基本ステータス!$C$1:$C$1005,0))+3)*4,0))*INDIRECT("職業!C"&amp;(MATCH(INDIRECT("基本ステータス!S"&amp;(MATCH($F$2,基本ステータス!$C$1:$C$1005,0))+3),職業リスト,0))+3),0))</f>
        <v>93</v>
      </c>
      <c r="AE7" s="76">
        <f ca="1">IF($AA7="","",ROUNDDOWN((INDIRECT($AA7&amp;"!d"&amp;($AC7)+3)+ROUNDDOWN(INDIRECT("基本ステータス!O"&amp;(MATCH($F$2,基本ステータス!$C$1:$C$1005,0))+3)*4,0))*INDIRECT("職業!D"&amp;(MATCH(INDIRECT("基本ステータス!S"&amp;(MATCH($F$2,基本ステータス!$C$1:$C$1005,0))+3),職業リスト,0))+3),0))</f>
        <v>123</v>
      </c>
      <c r="AF7" s="76">
        <f ca="1">IF($AA7="","",ROUNDDOWN((INDIRECT($AA7&amp;"!e"&amp;($AC7)+3)+ROUNDDOWN(INDIRECT("基本ステータス!P"&amp;(MATCH($F$2,基本ステータス!$C$1:$C$1005,0))+3)*4,0))*INDIRECT("職業!E"&amp;(MATCH(INDIRECT("基本ステータス!S"&amp;(MATCH($F$2,基本ステータス!$C$1:$C$1005,0))+3),職業リスト,0))+3),0)+INDIRECT("装備!C"&amp;MATCH(INDIRECT("基本ステータス!G"&amp;(MATCH($F$2,基本ステータス!$C$1:$C$1005,0))+3),武器リスト,0)+2)+INDIRECT("装備!R"&amp;MATCH(INDIRECT("基本ステータス!L"&amp;(MATCH($F$2,基本ステータス!$C$1:$C$1005,0))+3),装飾品Bリスト,0)+2))</f>
        <v>49</v>
      </c>
      <c r="AG7" s="76">
        <f ca="1">IF($AA7="","",ROUNDDOWN((INDIRECT($AA7&amp;"!f"&amp;($AC7)+3)+ROUNDDOWN(INDIRECT("基本ステータス!Q"&amp;(MATCH($F$2,基本ステータス!$C$1:$C$1005,0))+3)*4,0))*INDIRECT("職業!F"&amp;(MATCH(INDIRECT("基本ステータス!S"&amp;(MATCH($F$2,基本ステータス!$C$1:$C$1005,0))+3),職業リスト,0))+3),0)+INDIRECT("装備!F"&amp;MATCH(INDIRECT("基本ステータス!H"&amp;(MATCH($F$2,基本ステータス!$C$1:$C$908,0))+3),鎧リスト,0)+2)+INDIRECT("装備!I"&amp;MATCH(INDIRECT("基本ステータス!I"&amp;(MATCH($F$2,基本ステータス!$C$1:$C$908,0))+3),盾リスト,0)+2)+INDIRECT("装備!L"&amp;MATCH(INDIRECT("基本ステータス!J"&amp;(MATCH($F$2,基本ステータス!$C$1:$C$908,0))+3),兜リスト,0)+2)+INDIRECT("装備!O"&amp;MATCH(INDIRECT("基本ステータス!K"&amp;(MATCH($F$2,基本ステータス!$C$1:$C$908,0))+3),装飾品Aリスト,0)+2))</f>
        <v>51</v>
      </c>
      <c r="AH7" s="76">
        <f ca="1">IF($AA7="","",(ROUNDDOWN((INDIRECT($AA7&amp;"!g"&amp;($AC7)+3)+ROUNDDOWN(INDIRECT("基本ステータス!R"&amp;(MATCH($F$2,基本ステータス!$C$1:$C$1005,0))+3)*2,0))*INDIRECT("職業!G"&amp;(MATCH(INDIRECT("基本ステータス!S"&amp;(MATCH($F$2,基本ステータス!$C$1:$C$1005,0))+3),職業リスト,0))+3),0)+INDIRECT("装備!U"&amp;MATCH(INDIRECT("基本ステータス!M"&amp;(MATCH($F$2,基本ステータス!$C$1:$C$908,0))+3),装飾品Cリスト,0)+2)-IF(INDIRECT("装備!U"&amp;MATCH(INDIRECT("基本ステータス!M"&amp;(MATCH($F$2,基本ステータス!$C$1:$C$908,0))+3),装飾品Cリスト,0)+2)=999,INDIRECT("装備!U"&amp;MATCH(INDIRECT("基本ステータス!M"&amp;(MATCH($F$2,基本ステータス!$C$1:$C$908,0))+3),装飾品Cリスト,0)+2),0))*IF(INDIRECT("装備!U"&amp;MATCH(INDIRECT("基本ステータス!M"&amp;(MATCH($F$2,基本ステータス!$C$1:$C$908,0))+3),装飾品Cリスト,0)+2)=999,2,1))</f>
        <v>48</v>
      </c>
      <c r="AI7" s="76">
        <f ca="1">IF($AA7="","",IFERROR((VLOOKUP(INDIRECT("基本ステータス!H"&amp;(MATCH($F$2,基本ステータス!$C$1:$C$1005,0))+3),耐性,2,0)),0)+IFERROR((VLOOKUP(INDIRECT("基本ステータス!I"&amp;(MATCH($F$2,基本ステータス!$C$1:$C$1005,0))+3),耐性,2,0)),0))</f>
        <v>0</v>
      </c>
      <c r="AJ7" s="76">
        <f ca="1">IF($AA7="","",IFERROR((VLOOKUP(INDIRECT("基本ステータス!H"&amp;(MATCH($F$2,基本ステータス!$C$1:$C$1005,0))+3),耐性,3,0)),0)+IFERROR((VLOOKUP(INDIRECT("基本ステータス!I"&amp;(MATCH($F$2,基本ステータス!$C$1:$C$1005,0))+3),耐性,3,0)),0))</f>
        <v>0</v>
      </c>
      <c r="AK7" s="76">
        <f ca="1">IF($AA7="","",IFERROR((VLOOKUP(INDIRECT("基本ステータス!H"&amp;(MATCH($F$2,基本ステータス!$C$1:$C$1005,0))+3),耐性,4,0)),0)+IFERROR((VLOOKUP(INDIRECT("基本ステータス!I"&amp;(MATCH($F$2,基本ステータス!$C$1:$C$1005,0))+3),耐性,4,0)),0))</f>
        <v>0</v>
      </c>
      <c r="AL7" s="76">
        <f ca="1">IF($AA7="","",IFERROR((VLOOKUP(INDIRECT("基本ステータス!H"&amp;(MATCH($F$2,基本ステータス!$C$1:$C$1005,0))+3),耐性,5,0)),0)+IFERROR((VLOOKUP(INDIRECT("基本ステータス!I"&amp;(MATCH($F$2,基本ステータス!$C$1:$C$1005,0))+3),耐性,5,0)),0))</f>
        <v>0</v>
      </c>
      <c r="AM7" s="76">
        <f ca="1">IF($AA7="","",IFERROR((VLOOKUP(INDIRECT("基本ステータス!H"&amp;(MATCH($F$2,基本ステータス!$C$1:$C$1005,0))+3),耐性,6,0)),0)+IFERROR((VLOOKUP(INDIRECT("基本ステータス!I"&amp;(MATCH($F$2,基本ステータス!$C$1:$C$1005,0))+3),耐性,6,0)),0))</f>
        <v>0</v>
      </c>
      <c r="AN7" s="76">
        <f ca="1">IF($AA7="","",IFERROR((VLOOKUP(INDIRECT("基本ステータス!H"&amp;(MATCH($F$2,基本ステータス!$C$1:$C$1005,0))+3),耐性,7,0)),0)+IFERROR((VLOOKUP(INDIRECT("基本ステータス!I"&amp;(MATCH($F$2,基本ステータス!$C$1:$C$1005,0))+3),耐性,7,0)),0))</f>
        <v>0</v>
      </c>
      <c r="AO7" s="76">
        <f ca="1">IF($AA7="","",IFERROR((VLOOKUP(INDIRECT("基本ステータス!H"&amp;(MATCH($F$2,基本ステータス!$C$1:$C$1005,0))+3),耐性,8,0)),0)+IFERROR((VLOOKUP(INDIRECT("基本ステータス!I"&amp;(MATCH($F$2,基本ステータス!$C$1:$C$1005,0))+3),耐性,8,0)),0))</f>
        <v>0</v>
      </c>
      <c r="AP7" s="125">
        <f ca="1">IF($AA7="","",IFERROR((VLOOKUP(INDIRECT("基本ステータス!H"&amp;(MATCH($F$2,基本ステータス!$C$1:$C$1005,0))+3),耐性,9,0)),0)+IFERROR((VLOOKUP(INDIRECT("基本ステータス!I"&amp;(MATCH($F$2,基本ステータス!$C$1:$C$1005,0))+3),耐性,9,0)),0))</f>
        <v>0</v>
      </c>
      <c r="AQ7" s="72"/>
      <c r="AR7" s="72"/>
      <c r="AS7" s="72"/>
      <c r="AT7" s="72"/>
      <c r="AU7" s="92"/>
    </row>
    <row r="8" spans="1:47" x14ac:dyDescent="0.15">
      <c r="A8" s="64"/>
      <c r="B8" s="219" t="str">
        <f ca="1">IF(INDIRECT("基本ステータス!D"&amp;(MATCH($F$2,基本ステータス!$C$1:$C$1008,0))+4)="","",INDIRECT("基本ステータス!D"&amp;(MATCH($F$2,基本ステータス!$C$1:$C$1008,0))+4))</f>
        <v>デスタムーア3</v>
      </c>
      <c r="C8" s="212"/>
      <c r="D8" s="212"/>
      <c r="E8" s="220"/>
      <c r="F8" s="239">
        <f ca="1">IF($B8="","",INDIRECT("ボス!C"&amp;(MATCH($B8,ボス!$B$1:$B$500,0))))</f>
        <v>2500</v>
      </c>
      <c r="G8" s="239"/>
      <c r="H8" s="73">
        <f ca="1">IF($B8="","",INDIRECT("ボス!D"&amp;(MATCH($B8,ボス!$B$1:$B$500,0))))</f>
        <v>254</v>
      </c>
      <c r="I8" s="73">
        <f ca="1">IF($B8="","",INDIRECT("ボス!E"&amp;(MATCH($B8,ボス!$B$1:$B$500,0))))</f>
        <v>300</v>
      </c>
      <c r="J8" s="73">
        <f ca="1">IF($B8="","",INDIRECT("ボス!F"&amp;(MATCH($B8,ボス!$B$1:$B$500,0))))</f>
        <v>340</v>
      </c>
      <c r="K8" s="73">
        <f ca="1">IF($B8="","",INDIRECT("ボス!G"&amp;(MATCH($B8,ボス!$B$1:$B$500,0))))</f>
        <v>120</v>
      </c>
      <c r="L8" s="73">
        <f ca="1">IF($B8="","",INDIRECT("ボス!H"&amp;(MATCH($B8,ボス!$B$1:$B$500,0))))</f>
        <v>0</v>
      </c>
      <c r="M8" s="73">
        <f ca="1">IF($B8="","",INDIRECT("ボス!K"&amp;(MATCH($B8,ボス!$B$1:$B$500,0))))</f>
        <v>0</v>
      </c>
      <c r="N8" s="73">
        <f ca="1">IF($B8="","",INDIRECT("ボス!L"&amp;(MATCH($B8,ボス!$B$1:$B$500,0))))</f>
        <v>2</v>
      </c>
      <c r="O8" s="73">
        <f ca="1">IF($B8="","",INDIRECT("ボス!M"&amp;(MATCH($B8,ボス!$B$1:$B$500,0))))</f>
        <v>1</v>
      </c>
      <c r="P8" s="73">
        <f ca="1">IF($B8="","",INDIRECT("ボス!N"&amp;(MATCH($B8,ボス!$B$1:$B$500,0))))</f>
        <v>2</v>
      </c>
      <c r="Q8" s="73">
        <f ca="1">IF($B8="","",INDIRECT("ボス!O"&amp;(MATCH($B8,ボス!$B$1:$B$500,0))))</f>
        <v>2</v>
      </c>
      <c r="R8" s="73">
        <f ca="1">IF($B8="","",INDIRECT("ボス!P"&amp;(MATCH($B8,ボス!$B$1:$B$500,0))))</f>
        <v>2</v>
      </c>
      <c r="S8" s="73">
        <f ca="1">IF($B8="","",INDIRECT("ボス!Q"&amp;(MATCH($B8,ボス!$B$1:$B$500,0))))</f>
        <v>2</v>
      </c>
      <c r="T8" s="73">
        <f ca="1">IF($B8="","",INDIRECT("ボス!R"&amp;(MATCH($B8,ボス!$B$1:$B$500,0))))</f>
        <v>1</v>
      </c>
      <c r="U8" s="73">
        <f ca="1">IF($B8="","",INDIRECT("ボス!S"&amp;(MATCH($B8,ボス!$B$1:$B$500,0))))</f>
        <v>3</v>
      </c>
      <c r="V8" s="73">
        <f ca="1">IF($B8="","",INDIRECT("ボス!T"&amp;(MATCH($B8,ボス!$B$1:$B$500,0))))</f>
        <v>3</v>
      </c>
      <c r="W8" s="73">
        <f ca="1">IF($B8="","",INDIRECT("ボス!U"&amp;(MATCH($B8,ボス!$B$1:$B$500,0))))</f>
        <v>3</v>
      </c>
      <c r="X8" s="73">
        <f ca="1">IF($B8="","",INDIRECT("ボス!V"&amp;(MATCH($B8,ボス!$B$1:$B$500,0))))</f>
        <v>3</v>
      </c>
      <c r="Y8" s="74">
        <f ca="1">IF($B8="","",INDIRECT("ボス!W"&amp;(MATCH($B8,ボス!$B$1:$B$500,0))))</f>
        <v>3</v>
      </c>
      <c r="Z8" s="64"/>
      <c r="AA8" s="221" t="str">
        <f ca="1">IF(INDIRECT("基本ステータス!E"&amp;(MATCH($F$2,基本ステータス!$C$1:$C$9008,0))+4)="","",INDIRECT("基本ステータス!E"&amp;(MATCH($F$2,基本ステータス!$C$1:$C$9008,0))+4))</f>
        <v>チャモロ</v>
      </c>
      <c r="AB8" s="222"/>
      <c r="AC8" s="83">
        <f ca="1">IF($AA8="","",INDIRECT("基本ステータス!F"&amp;(MATCH($F$2,基本ステータス!$C$1:$C$1005,0))+4))</f>
        <v>20</v>
      </c>
      <c r="AD8" s="76">
        <f ca="1">IF($AA8="","",ROUNDDOWN((INDIRECT($AA8&amp;"!C"&amp;($AC8)+3)+ROUNDDOWN(INDIRECT("基本ステータス!N"&amp;(MATCH($F$2,基本ステータス!$C$1:$C$1005,0))+4)*4,0))*INDIRECT("職業!C"&amp;(MATCH(INDIRECT("基本ステータス!S"&amp;(MATCH($F$2,基本ステータス!$C$1:$C$1005,0))+4),職業リスト,0))+3),0))</f>
        <v>140</v>
      </c>
      <c r="AE8" s="76">
        <f ca="1">IF($AA8="","",ROUNDDOWN((INDIRECT($AA8&amp;"!d"&amp;($AC8)+3)+ROUNDDOWN(INDIRECT("基本ステータス!O"&amp;(MATCH($F$2,基本ステータス!$C$1:$C$1005,0))+4)*4,0))*INDIRECT("職業!D"&amp;(MATCH(INDIRECT("基本ステータス!S"&amp;(MATCH($F$2,基本ステータス!$C$1:$C$1005,0))+4),職業リスト,0))+3),0))</f>
        <v>115</v>
      </c>
      <c r="AF8" s="76">
        <f ca="1">IF($AA8="","",ROUNDDOWN((INDIRECT($AA8&amp;"!e"&amp;($AC8)+3)+ROUNDDOWN(INDIRECT("基本ステータス!P"&amp;(MATCH($F$2,基本ステータス!$C$1:$C$1005,0))+1)*4,0))*INDIRECT("職業!E"&amp;(MATCH(INDIRECT("基本ステータス!S"&amp;(MATCH($F$2,基本ステータス!$C$1:$C$1005,0))+1),職業リスト,0))+3),0)+INDIRECT("装備!C"&amp;MATCH(INDIRECT("基本ステータス!G"&amp;(MATCH($F$2,基本ステータス!$C$1:$C$1005,0))+1),武器リスト,0)+2)+INDIRECT("装備!R"&amp;MATCH(INDIRECT("基本ステータス!L"&amp;(MATCH($F$2,基本ステータス!$C$1:$C$1005,0))+4),装飾品Bリスト,0)+2))</f>
        <v>219</v>
      </c>
      <c r="AG8" s="76">
        <f ca="1">IF($AA8="","",ROUNDDOWN((INDIRECT($AA8&amp;"!f"&amp;($AC8)+3)+ROUNDDOWN(INDIRECT("基本ステータス!Q"&amp;(MATCH($F$2,基本ステータス!$C$1:$C$1005,0))+4)*4,0))*INDIRECT("職業!F"&amp;(MATCH(INDIRECT("基本ステータス!S"&amp;(MATCH($F$2,基本ステータス!$C$1:$C$1005,0))+4),職業リスト,0))+3),0)+INDIRECT("装備!F"&amp;MATCH(INDIRECT("基本ステータス!H"&amp;(MATCH($F$2,基本ステータス!$C$1:$C$908,0))+4),鎧リスト,0)+2)+INDIRECT("装備!I"&amp;MATCH(INDIRECT("基本ステータス!I"&amp;(MATCH($F$2,基本ステータス!$C$1:$C$908,0))+4),盾リスト,0)+2)+INDIRECT("装備!L"&amp;MATCH(INDIRECT("基本ステータス!J"&amp;(MATCH($F$2,基本ステータス!$C$1:$C$908,0))+4),兜リスト,0)+2)+INDIRECT("装備!O"&amp;MATCH(INDIRECT("基本ステータス!K"&amp;(MATCH($F$2,基本ステータス!$C$1:$C$908,0))+4),装飾品Aリスト,0)+2))</f>
        <v>96</v>
      </c>
      <c r="AH8" s="76">
        <f ca="1">IF($AA8="","",(ROUNDDOWN((INDIRECT($AA8&amp;"!g"&amp;($AC8)+3)+ROUNDDOWN(INDIRECT("基本ステータス!R"&amp;(MATCH($F$2,基本ステータス!$C$1:$C$1005,0))+4)*2,0))*INDIRECT("職業!G"&amp;(MATCH(INDIRECT("基本ステータス!S"&amp;(MATCH($F$2,基本ステータス!$C$1:$C$1005,0))+4),職業リスト,0))+3),0)+INDIRECT("装備!U"&amp;MATCH(INDIRECT("基本ステータス!M"&amp;(MATCH($F$2,基本ステータス!$C$1:$C$908,0))+4),装飾品Cリスト,0)+2)-IF(INDIRECT("装備!U"&amp;MATCH(INDIRECT("基本ステータス!M"&amp;(MATCH($F$2,基本ステータス!$C$1:$C$908,0))+4),装飾品Cリスト,0)+2)=999,INDIRECT("装備!U"&amp;MATCH(INDIRECT("基本ステータス!M"&amp;(MATCH($F$2,基本ステータス!$C$1:$C$908,0))+4),装飾品Cリスト,0)+2),0))*IF(INDIRECT("装備!U"&amp;MATCH(INDIRECT("基本ステータス!M"&amp;(MATCH($F$2,基本ステータス!$C$1:$C$908,0))+4),装飾品Cリスト,0)+2)=999,2,1))</f>
        <v>66</v>
      </c>
      <c r="AI8" s="76">
        <f ca="1">IF($AA8="","",IFERROR((VLOOKUP(INDIRECT("基本ステータス!H"&amp;(MATCH($F$2,基本ステータス!$C$1:$C$1005,0))+4),耐性,2,0)),0)+IFERROR((VLOOKUP(INDIRECT("基本ステータス!I"&amp;(MATCH($F$2,基本ステータス!$C$1:$C$1005,0))+4),耐性,2,0)),0))</f>
        <v>0</v>
      </c>
      <c r="AJ8" s="76">
        <f ca="1">IF($AA8="","",IFERROR((VLOOKUP(INDIRECT("基本ステータス!H"&amp;(MATCH($F$2,基本ステータス!$C$1:$C$1005,0))+4),耐性,3,0)),0)+IFERROR((VLOOKUP(INDIRECT("基本ステータス!I"&amp;(MATCH($F$2,基本ステータス!$C$1:$C$1005,0))+4),耐性,3,0)),0))</f>
        <v>0</v>
      </c>
      <c r="AK8" s="76">
        <f ca="1">IF($AA8="","",IFERROR((VLOOKUP(INDIRECT("基本ステータス!H"&amp;(MATCH($F$2,基本ステータス!$C$1:$C$1005,0))+4),耐性,4,0)),0)+IFERROR((VLOOKUP(INDIRECT("基本ステータス!I"&amp;(MATCH($F$2,基本ステータス!$C$1:$C$1005,0))+4),耐性,4,0)),0))</f>
        <v>0</v>
      </c>
      <c r="AL8" s="76">
        <f ca="1">IF($AA8="","",IFERROR((VLOOKUP(INDIRECT("基本ステータス!H"&amp;(MATCH($F$2,基本ステータス!$C$1:$C$1005,0))+4),耐性,5,0)),0)+IFERROR((VLOOKUP(INDIRECT("基本ステータス!I"&amp;(MATCH($F$2,基本ステータス!$C$1:$C$1005,0))+4),耐性,5,0)),0))</f>
        <v>0</v>
      </c>
      <c r="AM8" s="76">
        <f ca="1">IF($AA8="","",IFERROR((VLOOKUP(INDIRECT("基本ステータス!H"&amp;(MATCH($F$2,基本ステータス!$C$1:$C$1005,0))+4),耐性,6,0)),0)+IFERROR((VLOOKUP(INDIRECT("基本ステータス!I"&amp;(MATCH($F$2,基本ステータス!$C$1:$C$1005,0))+4),耐性,6,0)),0))</f>
        <v>0</v>
      </c>
      <c r="AN8" s="76">
        <f ca="1">IF($AA8="","",IFERROR((VLOOKUP(INDIRECT("基本ステータス!H"&amp;(MATCH($F$2,基本ステータス!$C$1:$C$1005,0))+4),耐性,7,0)),0)+IFERROR((VLOOKUP(INDIRECT("基本ステータス!I"&amp;(MATCH($F$2,基本ステータス!$C$1:$C$1005,0))+4),耐性,7,0)),0))</f>
        <v>0</v>
      </c>
      <c r="AO8" s="76">
        <f ca="1">IF($AA8="","",IFERROR((VLOOKUP(INDIRECT("基本ステータス!H"&amp;(MATCH($F$2,基本ステータス!$C$1:$C$1005,0))+4),耐性,8,0)),0)+IFERROR((VLOOKUP(INDIRECT("基本ステータス!I"&amp;(MATCH($F$2,基本ステータス!$C$1:$C$1005,0))+4),耐性,8,0)),0))</f>
        <v>0</v>
      </c>
      <c r="AP8" s="125">
        <f ca="1">IF($AA8="","",IFERROR((VLOOKUP(INDIRECT("基本ステータス!H"&amp;(MATCH($F$2,基本ステータス!$C$1:$C$1005,0))+4),耐性,9,0)),0)+IFERROR((VLOOKUP(INDIRECT("基本ステータス!I"&amp;(MATCH($F$2,基本ステータス!$C$1:$C$1005,0))+4),耐性,9,0)),0))</f>
        <v>0</v>
      </c>
      <c r="AQ8" s="72"/>
      <c r="AR8" s="72"/>
      <c r="AS8" s="72"/>
      <c r="AT8" s="72"/>
      <c r="AU8" s="126"/>
    </row>
    <row r="9" spans="1:47" x14ac:dyDescent="0.15">
      <c r="A9" s="64"/>
      <c r="B9" s="219" t="str">
        <f ca="1">IF(INDIRECT("基本ステータス!D"&amp;(MATCH($F$2,基本ステータス!$C$1:$C$1008,0))+5)="","",INDIRECT("基本ステータス!D"&amp;(MATCH($F$2,基本ステータス!$C$1:$C$1008,0))+5))</f>
        <v>ひだりて</v>
      </c>
      <c r="C9" s="212"/>
      <c r="D9" s="212"/>
      <c r="E9" s="220"/>
      <c r="F9" s="239">
        <f ca="1">IF($B9="","",INDIRECT("ボス!C"&amp;(MATCH($B9,ボス!$B$1:$B$500,0))))</f>
        <v>2000</v>
      </c>
      <c r="G9" s="239"/>
      <c r="H9" s="73" t="str">
        <f ca="1">IF($B9="","",INDIRECT("ボス!D"&amp;(MATCH($B9,ボス!$B$1:$B$500,0))))</f>
        <v>∞</v>
      </c>
      <c r="I9" s="73">
        <f ca="1">IF($B9="","",INDIRECT("ボス!E"&amp;(MATCH($B9,ボス!$B$1:$B$500,0))))</f>
        <v>270</v>
      </c>
      <c r="J9" s="73">
        <f ca="1">IF($B9="","",INDIRECT("ボス!F"&amp;(MATCH($B9,ボス!$B$1:$B$500,0))))</f>
        <v>180</v>
      </c>
      <c r="K9" s="73">
        <f ca="1">IF($B9="","",INDIRECT("ボス!G"&amp;(MATCH($B9,ボス!$B$1:$B$500,0))))</f>
        <v>180</v>
      </c>
      <c r="L9" s="73">
        <f ca="1">IF($B9="","",INDIRECT("ボス!H"&amp;(MATCH($B9,ボス!$B$1:$B$500,0))))</f>
        <v>0</v>
      </c>
      <c r="M9" s="73">
        <f ca="1">IF($B9="","",INDIRECT("ボス!K"&amp;(MATCH($B9,ボス!$B$1:$B$500,0))))</f>
        <v>0</v>
      </c>
      <c r="N9" s="73">
        <f ca="1">IF($B9="","",INDIRECT("ボス!L"&amp;(MATCH($B9,ボス!$B$1:$B$500,0))))</f>
        <v>0</v>
      </c>
      <c r="O9" s="73">
        <f ca="1">IF($B9="","",INDIRECT("ボス!M"&amp;(MATCH($B9,ボス!$B$1:$B$500,0))))</f>
        <v>1</v>
      </c>
      <c r="P9" s="73">
        <f ca="1">IF($B9="","",INDIRECT("ボス!N"&amp;(MATCH($B9,ボス!$B$1:$B$500,0))))</f>
        <v>2</v>
      </c>
      <c r="Q9" s="73">
        <f ca="1">IF($B9="","",INDIRECT("ボス!O"&amp;(MATCH($B9,ボス!$B$1:$B$500,0))))</f>
        <v>1</v>
      </c>
      <c r="R9" s="73">
        <f ca="1">IF($B9="","",INDIRECT("ボス!P"&amp;(MATCH($B9,ボス!$B$1:$B$500,0))))</f>
        <v>1</v>
      </c>
      <c r="S9" s="73">
        <f ca="1">IF($B9="","",INDIRECT("ボス!Q"&amp;(MATCH($B9,ボス!$B$1:$B$500,0))))</f>
        <v>1</v>
      </c>
      <c r="T9" s="73">
        <f ca="1">IF($B9="","",INDIRECT("ボス!R"&amp;(MATCH($B9,ボス!$B$1:$B$500,0))))</f>
        <v>0</v>
      </c>
      <c r="U9" s="73">
        <f ca="1">IF($B9="","",INDIRECT("ボス!S"&amp;(MATCH($B9,ボス!$B$1:$B$500,0))))</f>
        <v>0</v>
      </c>
      <c r="V9" s="73">
        <f ca="1">IF($B9="","",INDIRECT("ボス!T"&amp;(MATCH($B9,ボス!$B$1:$B$500,0))))</f>
        <v>3</v>
      </c>
      <c r="W9" s="73">
        <f ca="1">IF($B9="","",INDIRECT("ボス!U"&amp;(MATCH($B9,ボス!$B$1:$B$500,0))))</f>
        <v>3</v>
      </c>
      <c r="X9" s="73">
        <f ca="1">IF($B9="","",INDIRECT("ボス!V"&amp;(MATCH($B9,ボス!$B$1:$B$500,0))))</f>
        <v>3</v>
      </c>
      <c r="Y9" s="74">
        <f ca="1">IF($B9="","",INDIRECT("ボス!W"&amp;(MATCH($B9,ボス!$B$1:$B$500,0))))</f>
        <v>3</v>
      </c>
      <c r="Z9" s="64"/>
      <c r="AA9" s="221" t="str">
        <f ca="1">IF(INDIRECT("基本ステータス!E"&amp;(MATCH($F$2,基本ステータス!$C$1:$C$9008,0))+5)="","",INDIRECT("基本ステータス!E"&amp;(MATCH($F$2,基本ステータス!$C$1:$C$9008,0))+5))</f>
        <v>アモス</v>
      </c>
      <c r="AB9" s="222"/>
      <c r="AC9" s="83">
        <f ca="1">IF($AA9="","",INDIRECT("基本ステータス!F"&amp;(MATCH($F$2,基本ステータス!$C$1:$C$1005,0))+5))</f>
        <v>21</v>
      </c>
      <c r="AD9" s="76">
        <f ca="1">IF($AA9="","",ROUNDDOWN((INDIRECT($AA9&amp;"!C"&amp;($AC9)+3)+ROUNDDOWN(INDIRECT("基本ステータス!N"&amp;(MATCH($F$2,基本ステータス!$C$1:$C$1005,0))+5)*4,0))*INDIRECT("職業!C"&amp;(MATCH(INDIRECT("基本ステータス!S"&amp;(MATCH($F$2,基本ステータス!$C$1:$C$1005,0))+5),職業リスト,0))+3),0))</f>
        <v>202</v>
      </c>
      <c r="AE9" s="76">
        <f ca="1">IF($AA9="","",ROUNDDOWN((INDIRECT($AA9&amp;"!D"&amp;($AC9)+3)+ROUNDDOWN(INDIRECT("基本ステータス!O"&amp;(MATCH($F$2,基本ステータス!$C$1:$C$1005,0))+5)*4,0))*INDIRECT("職業!D"&amp;(MATCH(INDIRECT("基本ステータス!S"&amp;(MATCH($F$2,基本ステータス!$C$1:$C$1005,0))+5),職業リスト,0))+3),0))</f>
        <v>25</v>
      </c>
      <c r="AF9" s="76">
        <f ca="1">IF($AA9="","",ROUNDDOWN((INDIRECT($AA9&amp;"!e"&amp;($AC9)+3)+ROUNDDOWN(INDIRECT("基本ステータス!P"&amp;(MATCH($F$2,基本ステータス!$C$1:$C$1005,0))+5)*4,0))*INDIRECT("職業!E"&amp;(MATCH(INDIRECT("基本ステータス!S"&amp;(MATCH($F$2,基本ステータス!$C$1:$C$1005,0))+5),職業リスト,0))+3),0)+INDIRECT("装備!C"&amp;MATCH(INDIRECT("基本ステータス!G"&amp;(MATCH($F$2,基本ステータス!$C$1:$C$1005,0))+5),武器リスト,0)+2)+INDIRECT("装備!R"&amp;MATCH(INDIRECT("基本ステータス!L"&amp;(MATCH($F$2,基本ステータス!$C$1:$C$1005,0))+5),装飾品Bリスト,0)+2))</f>
        <v>83</v>
      </c>
      <c r="AG9" s="76">
        <f ca="1">IF($AA9="","",ROUNDDOWN((INDIRECT($AA9&amp;"!F"&amp;($AC9)+3)+ROUNDDOWN(INDIRECT("基本ステータス!Q"&amp;(MATCH($F$2,基本ステータス!$C$1:$C$1005,0))+5)*4,0))*INDIRECT("職業!F"&amp;(MATCH(INDIRECT("基本ステータス!S"&amp;(MATCH($F$2,基本ステータス!$C$1:$C$1005,0))+5),職業リスト,0))+3),0)+INDIRECT("装備!F"&amp;MATCH(INDIRECT("基本ステータス!H"&amp;(MATCH($F$2,基本ステータス!$C$1:$C$908,0))+5),鎧リスト,0)+2)+INDIRECT("装備!I"&amp;MATCH(INDIRECT("基本ステータス!I"&amp;(MATCH($F$2,基本ステータス!$C$1:$C$908,0))+5),盾リスト,0)+2)+INDIRECT("装備!L"&amp;MATCH(INDIRECT("基本ステータス!J"&amp;(MATCH($F$2,基本ステータス!$C$1:$C$908,0))+5),兜リスト,0)+2)+INDIRECT("装備!O"&amp;MATCH(INDIRECT("基本ステータス!K"&amp;(MATCH($F$2,基本ステータス!$C$1:$C$908,0))+5),装飾品Aリスト,0)+2))</f>
        <v>131</v>
      </c>
      <c r="AH9" s="76">
        <f ca="1">IF($AA9="","",(ROUNDDOWN((INDIRECT($AA9&amp;"!G"&amp;($AC9)+3)+ROUNDDOWN(INDIRECT("基本ステータス!R"&amp;(MATCH($F$2,基本ステータス!$C$1:$C$1005,0))+5)*2,0))*INDIRECT("職業!G"&amp;(MATCH(INDIRECT("基本ステータス!S"&amp;(MATCH($F$2,基本ステータス!$C$1:$C$1005,0))+5),職業リスト,0))+3),0)+INDIRECT("装備!U"&amp;MATCH(INDIRECT("基本ステータス!M"&amp;(MATCH($F$2,基本ステータス!$C$1:$C$908,0))+5),装飾品Cリスト,0)+2)-IF(INDIRECT("装備!U"&amp;MATCH(INDIRECT("基本ステータス!M"&amp;(MATCH($F$2,基本ステータス!$C$1:$C$908,0))+5),装飾品Cリスト,0)+2)=999,INDIRECT("装備!U"&amp;MATCH(INDIRECT("基本ステータス!M"&amp;(MATCH($F$2,基本ステータス!$C$1:$C$908,0))+5),装飾品Cリスト,0)+2),0))*IF(INDIRECT("装備!U"&amp;MATCH(INDIRECT("基本ステータス!M"&amp;(MATCH($F$2,基本ステータス!$C$1:$C$908,0))+5),装飾品Cリスト,0)+2)=999,2,1))</f>
        <v>47</v>
      </c>
      <c r="AI9" s="76">
        <f ca="1">IF($AA9="","",IFERROR((VLOOKUP(INDIRECT("基本ステータス!H"&amp;(MATCH($F$2,基本ステータス!$C$1:$C$1005,0))+5),耐性,2,0)),0)+IFERROR((VLOOKUP(INDIRECT("基本ステータス!I"&amp;(MATCH($F$2,基本ステータス!$C$1:$C$1005,0))+5),耐性,2,0)),0))</f>
        <v>0</v>
      </c>
      <c r="AJ9" s="76">
        <f ca="1">IF($AA9="","",IFERROR((VLOOKUP(INDIRECT("基本ステータス!H"&amp;(MATCH($F$2,基本ステータス!$C$1:$C$1005,0))+5),耐性,3,0)),0)+IFERROR((VLOOKUP(INDIRECT("基本ステータス!I"&amp;(MATCH($F$2,基本ステータス!$C$1:$C$1005,0))+5),耐性,2,0)),3))</f>
        <v>3</v>
      </c>
      <c r="AK9" s="76">
        <f ca="1">IF($AA9="","",IFERROR((VLOOKUP(INDIRECT("基本ステータス!H"&amp;(MATCH($F$2,基本ステータス!$C$1:$C$1005,0))+5),耐性,4,0)),0)+IFERROR((VLOOKUP(INDIRECT("基本ステータス!I"&amp;(MATCH($F$2,基本ステータス!$C$1:$C$1005,0))+5),耐性,2,0)),3))</f>
        <v>13</v>
      </c>
      <c r="AL9" s="76">
        <f ca="1">IF($AA9="","",IFERROR((VLOOKUP(INDIRECT("基本ステータス!H"&amp;(MATCH($F$2,基本ステータス!$C$1:$C$1005,0))+5),耐性,5,0)),0)+IFERROR((VLOOKUP(INDIRECT("基本ステータス!I"&amp;(MATCH($F$2,基本ステータス!$C$1:$C$1005,0))+5),耐性,2,0)),3))</f>
        <v>13</v>
      </c>
      <c r="AM9" s="76">
        <f ca="1">IF($AA9="","",IFERROR((VLOOKUP(INDIRECT("基本ステータス!H"&amp;(MATCH($F$2,基本ステータス!$C$1:$C$1005,0))+5),耐性,6,0)),0)+IFERROR((VLOOKUP(INDIRECT("基本ステータス!I"&amp;(MATCH($F$2,基本ステータス!$C$1:$C$1005,0))+5),耐性,2,0)),3))</f>
        <v>13</v>
      </c>
      <c r="AN9" s="76">
        <f ca="1">IF($AA9="","",IFERROR((VLOOKUP(INDIRECT("基本ステータス!H"&amp;(MATCH($F$2,基本ステータス!$C$1:$C$1005,0))+5),耐性,7,0)),0)+IFERROR((VLOOKUP(INDIRECT("基本ステータス!I"&amp;(MATCH($F$2,基本ステータス!$C$1:$C$1005,0))+5),耐性,2,0)),3))</f>
        <v>13</v>
      </c>
      <c r="AO9" s="76">
        <f ca="1">IF($AA9="","",IFERROR((VLOOKUP(INDIRECT("基本ステータス!H"&amp;(MATCH($F$2,基本ステータス!$C$1:$C$1005,0))+5),耐性,8,0)),0)+IFERROR((VLOOKUP(INDIRECT("基本ステータス!I"&amp;(MATCH($F$2,基本ステータス!$C$1:$C$1005,0))+5),耐性,2,0)),3))</f>
        <v>13</v>
      </c>
      <c r="AP9" s="125">
        <f ca="1">IF($AA9="","",IFERROR((VLOOKUP(INDIRECT("基本ステータス!H"&amp;(MATCH($F$2,基本ステータス!$C$1:$C$1005,0))+5),耐性,9,0)),0)+IFERROR((VLOOKUP(INDIRECT("基本ステータス!I"&amp;(MATCH($F$2,基本ステータス!$C$1:$C$1005,0))+5),耐性,2,0)),3))</f>
        <v>3</v>
      </c>
      <c r="AQ9" s="72"/>
      <c r="AR9" s="72"/>
      <c r="AS9" s="72"/>
      <c r="AT9" s="72"/>
      <c r="AU9" s="92"/>
    </row>
    <row r="10" spans="1:47" x14ac:dyDescent="0.15">
      <c r="A10" s="64"/>
      <c r="B10" s="219" t="str">
        <f ca="1">IF(INDIRECT("基本ステータス!D"&amp;(MATCH($F$2,基本ステータス!$C$1:$C$1008,0))+6)="","",INDIRECT("基本ステータス!D"&amp;(MATCH($F$2,基本ステータス!$C$1:$C$1008,0))+6))</f>
        <v>みぎて</v>
      </c>
      <c r="C10" s="212"/>
      <c r="D10" s="212"/>
      <c r="E10" s="220"/>
      <c r="F10" s="239">
        <f ca="1">IF($B10="","",INDIRECT("ボス!C"&amp;(MATCH($B10,ボス!$B$1:$B$500,0))))</f>
        <v>1700</v>
      </c>
      <c r="G10" s="239"/>
      <c r="H10" s="73" t="str">
        <f ca="1">IF($B10="","",INDIRECT("ボス!D"&amp;(MATCH($B10,ボス!$B$1:$B$500,0))))</f>
        <v>∞</v>
      </c>
      <c r="I10" s="73">
        <f ca="1">IF($B10="","",INDIRECT("ボス!E"&amp;(MATCH($B10,ボス!$B$1:$B$500,0))))</f>
        <v>330</v>
      </c>
      <c r="J10" s="73">
        <f ca="1">IF($B10="","",INDIRECT("ボス!F"&amp;(MATCH($B10,ボス!$B$1:$B$500,0))))</f>
        <v>180</v>
      </c>
      <c r="K10" s="73">
        <f ca="1">IF($B10="","",INDIRECT("ボス!G"&amp;(MATCH($B10,ボス!$B$1:$B$500,0))))</f>
        <v>70</v>
      </c>
      <c r="L10" s="73">
        <f ca="1">IF($B10="","",INDIRECT("ボス!H"&amp;(MATCH($B10,ボス!$B$1:$B$500,0))))</f>
        <v>0</v>
      </c>
      <c r="M10" s="73">
        <f ca="1">IF($B10="","",INDIRECT("ボス!K"&amp;(MATCH($B10,ボス!$B$1:$B$500,0))))</f>
        <v>0</v>
      </c>
      <c r="N10" s="73">
        <f ca="1">IF($B10="","",INDIRECT("ボス!L"&amp;(MATCH($B10,ボス!$B$1:$B$500,0))))</f>
        <v>0</v>
      </c>
      <c r="O10" s="73">
        <f ca="1">IF($B10="","",INDIRECT("ボス!M"&amp;(MATCH($B10,ボス!$B$1:$B$500,0))))</f>
        <v>0</v>
      </c>
      <c r="P10" s="73">
        <f ca="1">IF($B10="","",INDIRECT("ボス!N"&amp;(MATCH($B10,ボス!$B$1:$B$500,0))))</f>
        <v>1</v>
      </c>
      <c r="Q10" s="73">
        <f ca="1">IF($B10="","",INDIRECT("ボス!O"&amp;(MATCH($B10,ボス!$B$1:$B$500,0))))</f>
        <v>0</v>
      </c>
      <c r="R10" s="73">
        <f ca="1">IF($B10="","",INDIRECT("ボス!P"&amp;(MATCH($B10,ボス!$B$1:$B$500,0))))</f>
        <v>1</v>
      </c>
      <c r="S10" s="73">
        <f ca="1">IF($B10="","",INDIRECT("ボス!Q"&amp;(MATCH($B10,ボス!$B$1:$B$500,0))))</f>
        <v>1</v>
      </c>
      <c r="T10" s="73">
        <f ca="1">IF($B10="","",INDIRECT("ボス!R"&amp;(MATCH($B10,ボス!$B$1:$B$500,0))))</f>
        <v>0</v>
      </c>
      <c r="U10" s="73">
        <f ca="1">IF($B10="","",INDIRECT("ボス!S"&amp;(MATCH($B10,ボス!$B$1:$B$500,0))))</f>
        <v>0</v>
      </c>
      <c r="V10" s="73">
        <f ca="1">IF($B10="","",INDIRECT("ボス!T"&amp;(MATCH($B10,ボス!$B$1:$B$500,0))))</f>
        <v>3</v>
      </c>
      <c r="W10" s="73">
        <f ca="1">IF($B10="","",INDIRECT("ボス!U"&amp;(MATCH($B10,ボス!$B$1:$B$500,0))))</f>
        <v>3</v>
      </c>
      <c r="X10" s="73">
        <f ca="1">IF($B10="","",INDIRECT("ボス!V"&amp;(MATCH($B10,ボス!$B$1:$B$500,0))))</f>
        <v>3</v>
      </c>
      <c r="Y10" s="74">
        <f ca="1">IF($B10="","",INDIRECT("ボス!W"&amp;(MATCH($B10,ボス!$B$1:$B$500,0))))</f>
        <v>3</v>
      </c>
      <c r="Z10" s="64"/>
      <c r="AA10" s="221" t="str">
        <f ca="1">IF(INDIRECT("基本ステータス!E"&amp;(MATCH($F$2,基本ステータス!$C$1:$C$9008,0))+6)="","",INDIRECT("基本ステータス!E"&amp;(MATCH($F$2,基本ステータス!$C$1:$C$9008,0))+6))</f>
        <v>テリー</v>
      </c>
      <c r="AB10" s="222"/>
      <c r="AC10" s="83">
        <f ca="1">IF($AA10="","",INDIRECT("基本ステータス!F"&amp;(MATCH($F$2,基本ステータス!$C$1:$C$1005,0))+6))</f>
        <v>24</v>
      </c>
      <c r="AD10" s="76">
        <f ca="1">IF($AA10="","",ROUNDDOWN((INDIRECT($AA10&amp;"!C"&amp;($AC10)+3)+ROUNDDOWN(INDIRECT("基本ステータス!N"&amp;(MATCH($F$2,基本ステータス!$C$1:$C$1005,0))+6)*4,0))*INDIRECT("職業!C"&amp;(MATCH(INDIRECT("基本ステータス!S"&amp;(MATCH($F$2,基本ステータス!$C$1:$C$1005,0))+6),職業リスト,0))+3),0))</f>
        <v>260</v>
      </c>
      <c r="AE10" s="76">
        <f ca="1">IF($AA10="","",ROUNDDOWN((INDIRECT($AA10&amp;"!d"&amp;($AC10)+3)+ROUNDDOWN(INDIRECT("基本ステータス!O"&amp;(MATCH($F$2,基本ステータス!$C$1:$C$1005,0))+6)*4,0))*INDIRECT("職業!D"&amp;(MATCH(INDIRECT("基本ステータス!S"&amp;(MATCH($F$2,基本ステータス!$C$1:$C$1005,0))+6),職業リスト,0))+3),0))</f>
        <v>46</v>
      </c>
      <c r="AF10" s="76">
        <f ca="1">IF($AA10="","",ROUNDDOWN((INDIRECT($AA10&amp;"!e"&amp;($AC10)+3)+ROUNDDOWN(INDIRECT("基本ステータス!P"&amp;(MATCH($F$2,基本ステータス!$C$1:$C$1005,0))+6)*4,0))*INDIRECT("職業!E"&amp;(MATCH(INDIRECT("基本ステータス!S"&amp;(MATCH($F$2,基本ステータス!$C$1:$C$1005,0))+6),職業リスト,0))+3),0)+INDIRECT("装備!C"&amp;MATCH(INDIRECT("基本ステータス!G"&amp;(MATCH($F$2,基本ステータス!$C$1:$C$1005,0))+6),武器リスト,0)+2)+INDIRECT("装備!R"&amp;MATCH(INDIRECT("基本ステータス!L"&amp;(MATCH($F$2,基本ステータス!$C$1:$C$1005,0))+6),装飾品Bリスト,0)+2))</f>
        <v>184</v>
      </c>
      <c r="AG10" s="76">
        <f ca="1">IF($AA10="","",ROUNDDOWN((INDIRECT($AA10&amp;"!f"&amp;($AC10)+3)+ROUNDDOWN(INDIRECT("基本ステータス!Q"&amp;(MATCH($F$2,基本ステータス!$C$1:$C$1005,0))+6)*4,0))*INDIRECT("職業!F"&amp;(MATCH(INDIRECT("基本ステータス!S"&amp;(MATCH($F$2,基本ステータス!$C$1:$C$1005,0))+6),職業リスト,0))+3),0)+INDIRECT("装備!F"&amp;MATCH(INDIRECT("基本ステータス!H"&amp;(MATCH($F$2,基本ステータス!$C$1:$C$908,0))+6),鎧リスト,0)+2)+INDIRECT("装備!I"&amp;MATCH(INDIRECT("基本ステータス!I"&amp;(MATCH($F$2,基本ステータス!$C$1:$C$908,0))+6),盾リスト,0)+2)+INDIRECT("装備!L"&amp;MATCH(INDIRECT("基本ステータス!J"&amp;(MATCH($F$2,基本ステータス!$C$1:$C$908,0))+6),兜リスト,0)+2)+INDIRECT("装備!O"&amp;MATCH(INDIRECT("基本ステータス!K"&amp;(MATCH($F$2,基本ステータス!$C$1:$C$908,0))+6),装飾品Aリスト,0)+2))</f>
        <v>221</v>
      </c>
      <c r="AH10" s="76">
        <f ca="1">IF($AA10="","",(ROUNDDOWN((INDIRECT($AA10&amp;"!g"&amp;($AC10)+3)+ROUNDDOWN(INDIRECT("基本ステータス!R"&amp;(MATCH($F$2,基本ステータス!$C$1:$C$1005,0))+6)*2,0))*INDIRECT("職業!G"&amp;(MATCH(INDIRECT("基本ステータス!S"&amp;(MATCH($F$2,基本ステータス!$C$1:$C$1005,0))+6),職業リスト,0))+3),0)+INDIRECT("装備!U"&amp;MATCH(INDIRECT("基本ステータス!M"&amp;(MATCH($F$2,基本ステータス!$C$1:$C$908,0))+6),装飾品Cリスト,0)+2)-IF(INDIRECT("装備!U"&amp;MATCH(INDIRECT("基本ステータス!M"&amp;(MATCH($F$2,基本ステータス!$C$1:$C$908,0))+6),装飾品Cリスト,0)+2)=999,INDIRECT("装備!U"&amp;MATCH(INDIRECT("基本ステータス!M"&amp;(MATCH($F$2,基本ステータス!$C$1:$C$908,0))+6),装飾品Cリスト,0)+2),0))*IF(INDIRECT("装備!U"&amp;MATCH(INDIRECT("基本ステータス!M"&amp;(MATCH($F$2,基本ステータス!$C$1:$C$908,0))+6),装飾品Cリスト,0)+2)=999,2,1))</f>
        <v>242</v>
      </c>
      <c r="AI10" s="76">
        <f ca="1">IF($AA10="","",IFERROR((VLOOKUP(INDIRECT("基本ステータス!H"&amp;(MATCH($F$2,基本ステータス!$C$1:$C$1005,0))+6),耐性,2,0)),0)+IFERROR((VLOOKUP(INDIRECT("基本ステータス!I"&amp;(MATCH($F$2,基本ステータス!$C$1:$C$1005,0))+6),耐性,2,0)),0))</f>
        <v>25</v>
      </c>
      <c r="AJ10" s="76">
        <f ca="1">IF($AA10="","",IFERROR((VLOOKUP(INDIRECT("基本ステータス!H"&amp;(MATCH($F$2,基本ステータス!$C$1:$C$1005,0))+6),耐性,3,0)),0)+IFERROR((VLOOKUP(INDIRECT("基本ステータス!I"&amp;(MATCH($F$2,基本ステータス!$C$1:$C$1005,0))+6),耐性,2,0)),3))</f>
        <v>25</v>
      </c>
      <c r="AK10" s="76">
        <f ca="1">IF($AA10="","",IFERROR((VLOOKUP(INDIRECT("基本ステータス!H"&amp;(MATCH($F$2,基本ステータス!$C$1:$C$1005,0))+6),耐性,4,0)),0)+IFERROR((VLOOKUP(INDIRECT("基本ステータス!I"&amp;(MATCH($F$2,基本ステータス!$C$1:$C$1005,0))+6),耐性,2,0)),3))</f>
        <v>40</v>
      </c>
      <c r="AL10" s="76">
        <f ca="1">IF($AA10="","",IFERROR((VLOOKUP(INDIRECT("基本ステータス!H"&amp;(MATCH($F$2,基本ステータス!$C$1:$C$1005,0))+6),耐性,5,0)),0)+IFERROR((VLOOKUP(INDIRECT("基本ステータス!I"&amp;(MATCH($F$2,基本ステータス!$C$1:$C$1005,0))+6),耐性,2,0)),3))</f>
        <v>40</v>
      </c>
      <c r="AM10" s="76">
        <f ca="1">IF($AA10="","",IFERROR((VLOOKUP(INDIRECT("基本ステータス!H"&amp;(MATCH($F$2,基本ステータス!$C$1:$C$1005,0))+6),耐性,6,0)),0)+IFERROR((VLOOKUP(INDIRECT("基本ステータス!I"&amp;(MATCH($F$2,基本ステータス!$C$1:$C$1005,0))+6),耐性,2,0)),3))</f>
        <v>40</v>
      </c>
      <c r="AN10" s="76">
        <f ca="1">IF($AA10="","",IFERROR((VLOOKUP(INDIRECT("基本ステータス!H"&amp;(MATCH($F$2,基本ステータス!$C$1:$C$1005,0))+6),耐性,7,0)),0)+IFERROR((VLOOKUP(INDIRECT("基本ステータス!I"&amp;(MATCH($F$2,基本ステータス!$C$1:$C$1005,0))+6),耐性,2,0)),3))</f>
        <v>40</v>
      </c>
      <c r="AO10" s="76">
        <f ca="1">IF($AA10="","",IFERROR((VLOOKUP(INDIRECT("基本ステータス!H"&amp;(MATCH($F$2,基本ステータス!$C$1:$C$1005,0))+6),耐性,8,0)),0)+IFERROR((VLOOKUP(INDIRECT("基本ステータス!I"&amp;(MATCH($F$2,基本ステータス!$C$1:$C$1005,0))+6),耐性,2,0)),3))</f>
        <v>40</v>
      </c>
      <c r="AP10" s="125">
        <f ca="1">IF($AA10="","",IFERROR((VLOOKUP(INDIRECT("基本ステータス!H"&amp;(MATCH($F$2,基本ステータス!$C$1:$C$1005,0))+6),耐性,9,0)),0)+IFERROR((VLOOKUP(INDIRECT("基本ステータス!I"&amp;(MATCH($F$2,基本ステータス!$C$1:$C$1005,0))+6),耐性,2,0)),3))</f>
        <v>25</v>
      </c>
      <c r="AQ10" s="72"/>
      <c r="AR10" s="72"/>
      <c r="AS10" s="72"/>
      <c r="AT10" s="72"/>
      <c r="AU10" s="126"/>
    </row>
    <row r="11" spans="1:47" x14ac:dyDescent="0.15">
      <c r="A11" s="64"/>
      <c r="B11" s="219" t="str">
        <f ca="1">IF(INDIRECT("基本ステータス!D"&amp;(MATCH($F$2,基本ステータス!$C$1:$C$1008,0))+7)="","",INDIRECT("基本ステータス!D"&amp;(MATCH($F$2,基本ステータス!$C$1:$C$1008,0))+7))</f>
        <v>みぎて</v>
      </c>
      <c r="C11" s="212"/>
      <c r="D11" s="212"/>
      <c r="E11" s="220"/>
      <c r="F11" s="240">
        <f ca="1">IF($B11="","",INDIRECT("ボス!C"&amp;(MATCH($B11,ボス!$B$1:$B$500,0))))</f>
        <v>1700</v>
      </c>
      <c r="G11" s="240"/>
      <c r="H11" s="81" t="str">
        <f ca="1">IF($B11="","",INDIRECT("ボス!D"&amp;(MATCH($B11,ボス!$B$1:$B$500,0))))</f>
        <v>∞</v>
      </c>
      <c r="I11" s="81">
        <f ca="1">IF($B11="","",INDIRECT("ボス!E"&amp;(MATCH($B11,ボス!$B$1:$B$500,0))))</f>
        <v>330</v>
      </c>
      <c r="J11" s="81">
        <f ca="1">IF($B11="","",INDIRECT("ボス!F"&amp;(MATCH($B11,ボス!$B$1:$B$500,0))))</f>
        <v>180</v>
      </c>
      <c r="K11" s="81">
        <f ca="1">IF($B11="","",INDIRECT("ボス!G"&amp;(MATCH($B11,ボス!$B$1:$B$500,0))))</f>
        <v>70</v>
      </c>
      <c r="L11" s="81">
        <f ca="1">IF($B11="","",INDIRECT("ボス!H"&amp;(MATCH($B11,ボス!$B$1:$B$500,0))))</f>
        <v>0</v>
      </c>
      <c r="M11" s="81">
        <f ca="1">IF($B11="","",INDIRECT("ボス!K"&amp;(MATCH($B11,ボス!$B$1:$B$500,0))))</f>
        <v>0</v>
      </c>
      <c r="N11" s="81">
        <f ca="1">IF($B11="","",INDIRECT("ボス!L"&amp;(MATCH($B11,ボス!$B$1:$B$500,0))))</f>
        <v>0</v>
      </c>
      <c r="O11" s="81">
        <f ca="1">IF($B11="","",INDIRECT("ボス!M"&amp;(MATCH($B11,ボス!$B$1:$B$500,0))))</f>
        <v>0</v>
      </c>
      <c r="P11" s="81">
        <f ca="1">IF($B11="","",INDIRECT("ボス!N"&amp;(MATCH($B11,ボス!$B$1:$B$500,0))))</f>
        <v>1</v>
      </c>
      <c r="Q11" s="81">
        <f ca="1">IF($B11="","",INDIRECT("ボス!O"&amp;(MATCH($B11,ボス!$B$1:$B$500,0))))</f>
        <v>0</v>
      </c>
      <c r="R11" s="81">
        <f ca="1">IF($B11="","",INDIRECT("ボス!P"&amp;(MATCH($B11,ボス!$B$1:$B$500,0))))</f>
        <v>1</v>
      </c>
      <c r="S11" s="81">
        <f ca="1">IF($B11="","",INDIRECT("ボス!Q"&amp;(MATCH($B11,ボス!$B$1:$B$500,0))))</f>
        <v>1</v>
      </c>
      <c r="T11" s="81">
        <f ca="1">IF($B11="","",INDIRECT("ボス!R"&amp;(MATCH($B11,ボス!$B$1:$B$500,0))))</f>
        <v>0</v>
      </c>
      <c r="U11" s="81">
        <f ca="1">IF($B11="","",INDIRECT("ボス!S"&amp;(MATCH($B11,ボス!$B$1:$B$500,0))))</f>
        <v>0</v>
      </c>
      <c r="V11" s="81">
        <f ca="1">IF($B11="","",INDIRECT("ボス!T"&amp;(MATCH($B11,ボス!$B$1:$B$500,0))))</f>
        <v>3</v>
      </c>
      <c r="W11" s="81">
        <f ca="1">IF($B11="","",INDIRECT("ボス!U"&amp;(MATCH($B11,ボス!$B$1:$B$500,0))))</f>
        <v>3</v>
      </c>
      <c r="X11" s="81">
        <f ca="1">IF($B11="","",INDIRECT("ボス!V"&amp;(MATCH($B11,ボス!$B$1:$B$500,0))))</f>
        <v>3</v>
      </c>
      <c r="Y11" s="82">
        <f ca="1">IF($B11="","",INDIRECT("ボス!W"&amp;(MATCH($B11,ボス!$B$1:$B$500,0))))</f>
        <v>3</v>
      </c>
      <c r="Z11" s="64"/>
      <c r="AA11" s="212" t="str">
        <f ca="1">IF(INDIRECT("基本ステータス!E"&amp;(MATCH($F$2,基本ステータス!$C$1:$C$9008,0))+7)="","",INDIRECT("基本ステータス!E"&amp;(MATCH($F$2,基本ステータス!$C$1:$C$9008,0))+7))</f>
        <v>ドランゴ</v>
      </c>
      <c r="AB11" s="213"/>
      <c r="AC11" s="80">
        <f ca="1">IF($AA11="","",INDIRECT("基本ステータス!F"&amp;(MATCH($F$2,基本ステータス!$C$1:$C$1005,0))+7))</f>
        <v>6</v>
      </c>
      <c r="AD11" s="79">
        <f ca="1">IF($AA11="","",ROUNDDOWN((INDIRECT($AA11&amp;"!C"&amp;($AC11)+3)+ROUNDDOWN(INDIRECT("基本ステータス!N"&amp;(MATCH($F$2,基本ステータス!$C$1:$C$1005,0))+7)*4,0))*INDIRECT("職業!C"&amp;(MATCH(INDIRECT("基本ステータス!S"&amp;(MATCH($F$2,基本ステータス!$C$1:$C$1005,0))+7),職業リスト,0))+3),0))</f>
        <v>326</v>
      </c>
      <c r="AE11" s="79">
        <f ca="1">IF($AA11="","",ROUNDDOWN((INDIRECT($AA11&amp;"!D"&amp;($AC11)+3)+ROUNDDOWN(INDIRECT("基本ステータス!O"&amp;(MATCH($F$2,基本ステータス!$C$1:$C$1005,0))+7)*4,0))*INDIRECT("職業!D"&amp;(MATCH(INDIRECT("基本ステータス!S"&amp;(MATCH($F$2,基本ステータス!$C$1:$C$1005,0))+7),職業リスト,0))+3),0))</f>
        <v>44</v>
      </c>
      <c r="AF11" s="79">
        <f ca="1">IF($AA11="","",ROUNDDOWN((INDIRECT($AA11&amp;"!e"&amp;($AC11)+3)+ROUNDDOWN(INDIRECT("基本ステータス!P"&amp;(MATCH($F$2,基本ステータス!$C$1:$C$1005,0))+7)*4,0))*INDIRECT("職業!E"&amp;(MATCH(INDIRECT("基本ステータス!S"&amp;(MATCH($F$2,基本ステータス!$C$1:$C$1005,0))+7),職業リスト,0))+3),0)+INDIRECT("装備!C"&amp;MATCH(INDIRECT("基本ステータス!G"&amp;(MATCH($F$2,基本ステータス!$C$1:$C$1005,0))+7),武器リスト,0)+2)+INDIRECT("装備!R"&amp;MATCH(INDIRECT("基本ステータス!L"&amp;(MATCH($F$2,基本ステータス!$C$1:$C$1005,0))+7),装飾品Bリスト,0)+2))</f>
        <v>271</v>
      </c>
      <c r="AG11" s="79">
        <f ca="1">IF($AA11="","",ROUNDDOWN((INDIRECT($AA11&amp;"!f"&amp;($AC11)+3)+ROUNDDOWN(INDIRECT("基本ステータス!Q"&amp;(MATCH($F$2,基本ステータス!$C$1:$C$1005,0))+7)*4,0))*INDIRECT("職業!F"&amp;(MATCH(INDIRECT("基本ステータス!S"&amp;(MATCH($F$2,基本ステータス!$C$1:$C$1005,0))+7),職業リスト,0))+3),0)+INDIRECT("装備!F"&amp;MATCH(INDIRECT("基本ステータス!H"&amp;(MATCH($F$2,基本ステータス!$C$1:$C$908,0))+7),鎧リスト,0)+2)+INDIRECT("装備!I"&amp;MATCH(INDIRECT("基本ステータス!I"&amp;(MATCH($F$2,基本ステータス!$C$1:$C$908,0))+7),盾リスト,0)+2)+INDIRECT("装備!L"&amp;MATCH(INDIRECT("基本ステータス!J"&amp;(MATCH($F$2,基本ステータス!$C$1:$C$908,0))+7),兜リスト,0)+2)+INDIRECT("装備!O"&amp;MATCH(INDIRECT("基本ステータス!K"&amp;(MATCH($F$2,基本ステータス!$C$1:$C$908,0))+1),装飾品Aリスト,0)+2))</f>
        <v>342</v>
      </c>
      <c r="AH11" s="79">
        <f ca="1">IF($AA11="","",(ROUNDDOWN((INDIRECT($AA11&amp;"!g"&amp;($AC11)+3)+ROUNDDOWN(INDIRECT("基本ステータス!R"&amp;(MATCH($F$2,基本ステータス!$C$1:$C$1005,0))+7)*2,0))*INDIRECT("職業!G"&amp;(MATCH(INDIRECT("基本ステータス!S"&amp;(MATCH($F$2,基本ステータス!$C$1:$C$1005,0))+7),職業リスト,0))+3),0)+INDIRECT("装備!U"&amp;MATCH(INDIRECT("基本ステータス!M"&amp;(MATCH($F$2,基本ステータス!$C$1:$C$908,0))+7),装飾品Cリスト,0)+2)-IF(INDIRECT("装備!U"&amp;MATCH(INDIRECT("基本ステータス!M"&amp;(MATCH($F$2,基本ステータス!$C$1:$C$908,0))+7),装飾品Cリスト,0)+2)=999,INDIRECT("装備!U"&amp;MATCH(INDIRECT("基本ステータス!M"&amp;(MATCH($F$2,基本ステータス!$C$1:$C$908,0))+7),装飾品Cリスト,0)+2),0))*IF(INDIRECT("装備!U"&amp;MATCH(INDIRECT("基本ステータス!M"&amp;(MATCH($F$2,基本ステータス!$C$1:$C$908,0))+7),装飾品Cリスト,0)+2)=999,2,1))</f>
        <v>62</v>
      </c>
      <c r="AI11" s="79">
        <f ca="1">IF($AA11="","",IFERROR((VLOOKUP(INDIRECT("基本ステータス!H"&amp;(MATCH($F$2,基本ステータス!$C$1:$C$1005,0))+7),耐性,2,0)),0)+IFERROR((VLOOKUP(INDIRECT("基本ステータス!I"&amp;(MATCH($F$2,基本ステータス!$C$1:$C$1005,0))+7),耐性,2,0)),0))</f>
        <v>45</v>
      </c>
      <c r="AJ11" s="79">
        <f ca="1">IF($AA11="","",IFERROR((VLOOKUP(INDIRECT("基本ステータス!H"&amp;(MATCH($F$2,基本ステータス!$C$1:$C$1005,0))+7),耐性,3,0)),0)+IFERROR((VLOOKUP(INDIRECT("基本ステータス!I"&amp;(MATCH($F$2,基本ステータス!$C$1:$C$1005,0))+7),耐性,3,0)),0))</f>
        <v>45</v>
      </c>
      <c r="AK11" s="79">
        <f ca="1">IF($AA11="","",IFERROR((VLOOKUP(INDIRECT("基本ステータス!H"&amp;(MATCH($F$2,基本ステータス!$C$1:$C$1005,0))+7),耐性,4,0)),0)+IFERROR((VLOOKUP(INDIRECT("基本ステータス!I"&amp;(MATCH($F$2,基本ステータス!$C$1:$C$1005,0))+7),耐性,4,0)),0))</f>
        <v>30</v>
      </c>
      <c r="AL11" s="79">
        <f ca="1">IF($AA11="","",IFERROR((VLOOKUP(INDIRECT("基本ステータス!H"&amp;(MATCH($F$2,基本ステータス!$C$1:$C$1005,0))+7),耐性,5,0)),0)+IFERROR((VLOOKUP(INDIRECT("基本ステータス!I"&amp;(MATCH($F$2,基本ステータス!$C$1:$C$1005,0))+7),耐性,5,0)),0))</f>
        <v>30</v>
      </c>
      <c r="AM11" s="79">
        <f ca="1">IF($AA11="","",IFERROR((VLOOKUP(INDIRECT("基本ステータス!H"&amp;(MATCH($F$2,基本ステータス!$C$1:$C$1005,0))+7),耐性,6,0)),0)+IFERROR((VLOOKUP(INDIRECT("基本ステータス!I"&amp;(MATCH($F$2,基本ステータス!$C$1:$C$1005,0))+7),耐性,6,0)),0))</f>
        <v>30</v>
      </c>
      <c r="AN11" s="79">
        <f ca="1">IF($AA11="","",IFERROR((VLOOKUP(INDIRECT("基本ステータス!H"&amp;(MATCH($F$2,基本ステータス!$C$1:$C$1005,0))+7),耐性,7,0)),0)+IFERROR((VLOOKUP(INDIRECT("基本ステータス!I"&amp;(MATCH($F$2,基本ステータス!$C$1:$C$1005,0))+7),耐性,7,0)),0))</f>
        <v>0</v>
      </c>
      <c r="AO11" s="79">
        <f ca="1">IF($AA11="","",IFERROR((VLOOKUP(INDIRECT("基本ステータス!H"&amp;(MATCH($F$2,基本ステータス!$C$1:$C$1005,0))+7),耐性,8,0)),0)+IFERROR((VLOOKUP(INDIRECT("基本ステータス!I"&amp;(MATCH($F$2,基本ステータス!$C$1:$C$1005,0))+7),耐性,8,0)),0))</f>
        <v>0</v>
      </c>
      <c r="AP11" s="86">
        <f ca="1">IF($AA11="","",IFERROR((VLOOKUP(INDIRECT("基本ステータス!H"&amp;(MATCH($F$2,基本ステータス!$C$1:$C$1005,0))+7),耐性,9,0)),0)+IFERROR((VLOOKUP(INDIRECT("基本ステータス!I"&amp;(MATCH($F$2,基本ステータス!$C$1:$C$1005,0))+7),耐性,9,0)),0))</f>
        <v>0</v>
      </c>
      <c r="AQ11" s="72"/>
      <c r="AR11" s="72"/>
      <c r="AS11" s="72"/>
      <c r="AT11" s="72"/>
      <c r="AU11" s="92"/>
    </row>
    <row r="12" spans="1:47" ht="3.75" customHeight="1" x14ac:dyDescent="0.15">
      <c r="A12" s="64"/>
      <c r="B12" s="75"/>
      <c r="C12" s="75"/>
      <c r="D12" s="75"/>
      <c r="E12" s="75"/>
      <c r="F12" s="75"/>
      <c r="G12" s="75"/>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72"/>
    </row>
    <row r="13" spans="1:47" ht="11.25" customHeight="1" x14ac:dyDescent="0.15">
      <c r="A13" s="70"/>
      <c r="B13" s="225" t="s">
        <v>726</v>
      </c>
      <c r="C13" s="226"/>
      <c r="D13" s="226"/>
      <c r="E13" s="226"/>
      <c r="F13" s="226"/>
      <c r="G13" s="226"/>
      <c r="H13" s="226"/>
      <c r="I13" s="227"/>
      <c r="J13" s="118"/>
      <c r="K13" s="118"/>
      <c r="L13" s="118"/>
      <c r="M13" s="119"/>
      <c r="N13" s="175" t="s">
        <v>470</v>
      </c>
      <c r="O13" s="182"/>
      <c r="P13" s="207">
        <v>2</v>
      </c>
      <c r="Q13" s="208"/>
      <c r="R13" s="182" t="s">
        <v>470</v>
      </c>
      <c r="S13" s="182"/>
      <c r="T13" s="207">
        <v>2</v>
      </c>
      <c r="U13" s="208"/>
      <c r="V13" s="182" t="s">
        <v>470</v>
      </c>
      <c r="W13" s="182"/>
      <c r="X13" s="207">
        <v>2</v>
      </c>
      <c r="Y13" s="208"/>
      <c r="Z13" s="182" t="s">
        <v>470</v>
      </c>
      <c r="AA13" s="182"/>
      <c r="AB13" s="207">
        <v>2</v>
      </c>
      <c r="AC13" s="208"/>
      <c r="AD13" s="182" t="s">
        <v>470</v>
      </c>
      <c r="AE13" s="182"/>
      <c r="AF13" s="207">
        <v>2</v>
      </c>
      <c r="AG13" s="208"/>
      <c r="AH13" s="182" t="s">
        <v>470</v>
      </c>
      <c r="AI13" s="182"/>
      <c r="AJ13" s="207">
        <v>3</v>
      </c>
      <c r="AK13" s="208"/>
      <c r="AL13" s="182" t="s">
        <v>470</v>
      </c>
      <c r="AM13" s="182"/>
      <c r="AN13" s="207">
        <v>1</v>
      </c>
      <c r="AO13" s="208"/>
      <c r="AP13" s="182" t="s">
        <v>470</v>
      </c>
      <c r="AQ13" s="182"/>
      <c r="AR13" s="207">
        <v>1</v>
      </c>
      <c r="AS13" s="208"/>
      <c r="AT13" s="64"/>
      <c r="AU13" s="72"/>
    </row>
    <row r="14" spans="1:47" ht="11.25" customHeight="1" x14ac:dyDescent="0.15">
      <c r="A14" s="70"/>
      <c r="B14" s="228"/>
      <c r="C14" s="229"/>
      <c r="D14" s="229"/>
      <c r="E14" s="229"/>
      <c r="F14" s="229"/>
      <c r="G14" s="229"/>
      <c r="H14" s="229"/>
      <c r="I14" s="230"/>
      <c r="J14" s="120"/>
      <c r="K14" s="175" t="s">
        <v>670</v>
      </c>
      <c r="L14" s="176"/>
      <c r="M14" s="121"/>
      <c r="N14" s="175" t="s">
        <v>587</v>
      </c>
      <c r="O14" s="182"/>
      <c r="P14" s="180" t="s">
        <v>466</v>
      </c>
      <c r="Q14" s="181"/>
      <c r="R14" s="175" t="s">
        <v>587</v>
      </c>
      <c r="S14" s="182"/>
      <c r="T14" s="180" t="s">
        <v>466</v>
      </c>
      <c r="U14" s="181"/>
      <c r="V14" s="175" t="s">
        <v>587</v>
      </c>
      <c r="W14" s="176"/>
      <c r="X14" s="180" t="s">
        <v>466</v>
      </c>
      <c r="Y14" s="181"/>
      <c r="Z14" s="175" t="s">
        <v>587</v>
      </c>
      <c r="AA14" s="176"/>
      <c r="AB14" s="180" t="s">
        <v>466</v>
      </c>
      <c r="AC14" s="181"/>
      <c r="AD14" s="175" t="s">
        <v>587</v>
      </c>
      <c r="AE14" s="176"/>
      <c r="AF14" s="180" t="s">
        <v>466</v>
      </c>
      <c r="AG14" s="181"/>
      <c r="AH14" s="175" t="s">
        <v>587</v>
      </c>
      <c r="AI14" s="176"/>
      <c r="AJ14" s="180" t="s">
        <v>466</v>
      </c>
      <c r="AK14" s="181"/>
      <c r="AL14" s="175" t="s">
        <v>587</v>
      </c>
      <c r="AM14" s="176"/>
      <c r="AN14" s="180" t="s">
        <v>466</v>
      </c>
      <c r="AO14" s="181"/>
      <c r="AP14" s="175" t="s">
        <v>587</v>
      </c>
      <c r="AQ14" s="176"/>
      <c r="AR14" s="180" t="s">
        <v>466</v>
      </c>
      <c r="AS14" s="181"/>
      <c r="AT14" s="64"/>
      <c r="AU14" s="72"/>
    </row>
    <row r="15" spans="1:47" ht="11.25" customHeight="1" x14ac:dyDescent="0.15">
      <c r="A15" s="70"/>
      <c r="B15" s="228"/>
      <c r="C15" s="229"/>
      <c r="D15" s="229"/>
      <c r="E15" s="229"/>
      <c r="F15" s="229"/>
      <c r="G15" s="229"/>
      <c r="H15" s="229"/>
      <c r="I15" s="230"/>
      <c r="J15" s="120"/>
      <c r="K15" s="223">
        <v>4</v>
      </c>
      <c r="L15" s="224"/>
      <c r="M15" s="121"/>
      <c r="N15" s="175" t="s">
        <v>475</v>
      </c>
      <c r="O15" s="182"/>
      <c r="P15" s="180" t="s">
        <v>466</v>
      </c>
      <c r="Q15" s="181"/>
      <c r="R15" s="182" t="s">
        <v>475</v>
      </c>
      <c r="S15" s="176"/>
      <c r="T15" s="180" t="s">
        <v>466</v>
      </c>
      <c r="U15" s="181"/>
      <c r="V15" s="182" t="s">
        <v>475</v>
      </c>
      <c r="W15" s="176"/>
      <c r="X15" s="180" t="s">
        <v>466</v>
      </c>
      <c r="Y15" s="181"/>
      <c r="Z15" s="182" t="s">
        <v>475</v>
      </c>
      <c r="AA15" s="176"/>
      <c r="AB15" s="180" t="s">
        <v>466</v>
      </c>
      <c r="AC15" s="181"/>
      <c r="AD15" s="182" t="s">
        <v>475</v>
      </c>
      <c r="AE15" s="176"/>
      <c r="AF15" s="180" t="s">
        <v>466</v>
      </c>
      <c r="AG15" s="181"/>
      <c r="AH15" s="182" t="s">
        <v>475</v>
      </c>
      <c r="AI15" s="176"/>
      <c r="AJ15" s="180" t="s">
        <v>466</v>
      </c>
      <c r="AK15" s="181"/>
      <c r="AL15" s="182" t="s">
        <v>475</v>
      </c>
      <c r="AM15" s="176"/>
      <c r="AN15" s="180" t="s">
        <v>466</v>
      </c>
      <c r="AO15" s="181"/>
      <c r="AP15" s="182" t="s">
        <v>475</v>
      </c>
      <c r="AQ15" s="176"/>
      <c r="AR15" s="180" t="s">
        <v>466</v>
      </c>
      <c r="AS15" s="181"/>
      <c r="AT15" s="64"/>
      <c r="AU15" s="72"/>
    </row>
    <row r="16" spans="1:47" ht="11.25" customHeight="1" x14ac:dyDescent="0.15">
      <c r="A16" s="70"/>
      <c r="B16" s="228"/>
      <c r="C16" s="229"/>
      <c r="D16" s="229"/>
      <c r="E16" s="229"/>
      <c r="F16" s="229"/>
      <c r="G16" s="229"/>
      <c r="H16" s="229"/>
      <c r="I16" s="230"/>
      <c r="J16" s="120"/>
      <c r="K16" s="229"/>
      <c r="L16" s="229"/>
      <c r="M16" s="121"/>
      <c r="N16" s="175" t="s">
        <v>476</v>
      </c>
      <c r="O16" s="182"/>
      <c r="P16" s="180" t="s">
        <v>466</v>
      </c>
      <c r="Q16" s="181"/>
      <c r="R16" s="182" t="s">
        <v>476</v>
      </c>
      <c r="S16" s="176"/>
      <c r="T16" s="180" t="s">
        <v>466</v>
      </c>
      <c r="U16" s="181"/>
      <c r="V16" s="182" t="s">
        <v>476</v>
      </c>
      <c r="W16" s="176"/>
      <c r="X16" s="180" t="s">
        <v>466</v>
      </c>
      <c r="Y16" s="181"/>
      <c r="Z16" s="182" t="s">
        <v>476</v>
      </c>
      <c r="AA16" s="176"/>
      <c r="AB16" s="180" t="s">
        <v>466</v>
      </c>
      <c r="AC16" s="181"/>
      <c r="AD16" s="182" t="s">
        <v>476</v>
      </c>
      <c r="AE16" s="176"/>
      <c r="AF16" s="180" t="s">
        <v>466</v>
      </c>
      <c r="AG16" s="181"/>
      <c r="AH16" s="182" t="s">
        <v>476</v>
      </c>
      <c r="AI16" s="176"/>
      <c r="AJ16" s="180" t="s">
        <v>466</v>
      </c>
      <c r="AK16" s="181"/>
      <c r="AL16" s="182" t="s">
        <v>476</v>
      </c>
      <c r="AM16" s="176"/>
      <c r="AN16" s="180" t="s">
        <v>466</v>
      </c>
      <c r="AO16" s="181"/>
      <c r="AP16" s="182" t="s">
        <v>476</v>
      </c>
      <c r="AQ16" s="176"/>
      <c r="AR16" s="180" t="s">
        <v>466</v>
      </c>
      <c r="AS16" s="181"/>
      <c r="AT16" s="64"/>
      <c r="AU16" s="72"/>
    </row>
    <row r="17" spans="1:47" ht="11.25" customHeight="1" x14ac:dyDescent="0.15">
      <c r="A17" s="70"/>
      <c r="B17" s="228"/>
      <c r="C17" s="229"/>
      <c r="D17" s="229"/>
      <c r="E17" s="229"/>
      <c r="F17" s="229"/>
      <c r="G17" s="229"/>
      <c r="H17" s="229"/>
      <c r="I17" s="230"/>
      <c r="J17" s="120"/>
      <c r="K17" s="241"/>
      <c r="L17" s="241"/>
      <c r="M17" s="121"/>
      <c r="N17" s="175" t="s">
        <v>569</v>
      </c>
      <c r="O17" s="176"/>
      <c r="P17" s="180">
        <v>0</v>
      </c>
      <c r="Q17" s="181"/>
      <c r="R17" s="175" t="s">
        <v>569</v>
      </c>
      <c r="S17" s="176"/>
      <c r="T17" s="180">
        <v>0</v>
      </c>
      <c r="U17" s="181"/>
      <c r="V17" s="175" t="s">
        <v>569</v>
      </c>
      <c r="W17" s="176"/>
      <c r="X17" s="177">
        <v>0</v>
      </c>
      <c r="Y17" s="178"/>
      <c r="Z17" s="175" t="s">
        <v>569</v>
      </c>
      <c r="AA17" s="176"/>
      <c r="AB17" s="177">
        <v>0</v>
      </c>
      <c r="AC17" s="178"/>
      <c r="AD17" s="175" t="s">
        <v>569</v>
      </c>
      <c r="AE17" s="176"/>
      <c r="AF17" s="177">
        <v>0</v>
      </c>
      <c r="AG17" s="178"/>
      <c r="AH17" s="175" t="s">
        <v>569</v>
      </c>
      <c r="AI17" s="176"/>
      <c r="AJ17" s="177">
        <v>0</v>
      </c>
      <c r="AK17" s="178"/>
      <c r="AL17" s="175" t="s">
        <v>569</v>
      </c>
      <c r="AM17" s="176"/>
      <c r="AN17" s="177">
        <v>0</v>
      </c>
      <c r="AO17" s="178"/>
      <c r="AP17" s="175" t="s">
        <v>569</v>
      </c>
      <c r="AQ17" s="176"/>
      <c r="AR17" s="177">
        <v>0</v>
      </c>
      <c r="AS17" s="178"/>
      <c r="AT17" s="64"/>
      <c r="AU17" s="72"/>
    </row>
    <row r="18" spans="1:47" ht="11.25" customHeight="1" x14ac:dyDescent="0.15">
      <c r="A18" s="70"/>
      <c r="B18" s="231"/>
      <c r="C18" s="232"/>
      <c r="D18" s="232"/>
      <c r="E18" s="232"/>
      <c r="F18" s="232"/>
      <c r="G18" s="232"/>
      <c r="H18" s="232"/>
      <c r="I18" s="233"/>
      <c r="J18" s="122"/>
      <c r="K18" s="122"/>
      <c r="L18" s="122"/>
      <c r="M18" s="123"/>
      <c r="N18" s="175" t="s">
        <v>570</v>
      </c>
      <c r="O18" s="182"/>
      <c r="P18" s="177">
        <v>0</v>
      </c>
      <c r="Q18" s="178"/>
      <c r="R18" s="175" t="s">
        <v>570</v>
      </c>
      <c r="S18" s="182"/>
      <c r="T18" s="177">
        <v>0</v>
      </c>
      <c r="U18" s="178"/>
      <c r="V18" s="175" t="s">
        <v>570</v>
      </c>
      <c r="W18" s="182"/>
      <c r="X18" s="177">
        <v>0</v>
      </c>
      <c r="Y18" s="178"/>
      <c r="Z18" s="175" t="s">
        <v>570</v>
      </c>
      <c r="AA18" s="182"/>
      <c r="AB18" s="177">
        <v>0</v>
      </c>
      <c r="AC18" s="178"/>
      <c r="AD18" s="175" t="s">
        <v>570</v>
      </c>
      <c r="AE18" s="182"/>
      <c r="AF18" s="177">
        <v>0</v>
      </c>
      <c r="AG18" s="178"/>
      <c r="AH18" s="175" t="s">
        <v>570</v>
      </c>
      <c r="AI18" s="182"/>
      <c r="AJ18" s="177">
        <v>0</v>
      </c>
      <c r="AK18" s="178"/>
      <c r="AL18" s="175" t="s">
        <v>570</v>
      </c>
      <c r="AM18" s="182"/>
      <c r="AN18" s="177">
        <v>0</v>
      </c>
      <c r="AO18" s="178"/>
      <c r="AP18" s="175" t="s">
        <v>570</v>
      </c>
      <c r="AQ18" s="182"/>
      <c r="AR18" s="177">
        <v>0</v>
      </c>
      <c r="AS18" s="178"/>
      <c r="AT18" s="64"/>
      <c r="AU18" s="72"/>
    </row>
    <row r="19" spans="1:47" x14ac:dyDescent="0.15">
      <c r="A19" s="70"/>
      <c r="B19" s="179" t="s">
        <v>449</v>
      </c>
      <c r="C19" s="179"/>
      <c r="D19" s="179"/>
      <c r="E19" s="179"/>
      <c r="F19" s="179" t="s">
        <v>198</v>
      </c>
      <c r="G19" s="179"/>
      <c r="H19" s="179"/>
      <c r="I19" s="179"/>
      <c r="J19" s="179" t="s">
        <v>477</v>
      </c>
      <c r="K19" s="179"/>
      <c r="L19" s="179" t="s">
        <v>471</v>
      </c>
      <c r="M19" s="179"/>
      <c r="N19" s="204" t="str">
        <f ca="1">B4</f>
        <v>デスタムーア3</v>
      </c>
      <c r="O19" s="205"/>
      <c r="P19" s="205"/>
      <c r="Q19" s="206"/>
      <c r="R19" s="203" t="str">
        <f ca="1">B5</f>
        <v>デスタムーア3</v>
      </c>
      <c r="S19" s="203"/>
      <c r="T19" s="203"/>
      <c r="U19" s="203"/>
      <c r="V19" s="203" t="str">
        <f ca="1">B6</f>
        <v>デスタムーア3</v>
      </c>
      <c r="W19" s="203"/>
      <c r="X19" s="203"/>
      <c r="Y19" s="203"/>
      <c r="Z19" s="203" t="str">
        <f ca="1">B7</f>
        <v>デスタムーア3</v>
      </c>
      <c r="AA19" s="203"/>
      <c r="AB19" s="203"/>
      <c r="AC19" s="203"/>
      <c r="AD19" s="203" t="str">
        <f ca="1">B8</f>
        <v>デスタムーア3</v>
      </c>
      <c r="AE19" s="203"/>
      <c r="AF19" s="203"/>
      <c r="AG19" s="203"/>
      <c r="AH19" s="203" t="str">
        <f ca="1">B9</f>
        <v>ひだりて</v>
      </c>
      <c r="AI19" s="203"/>
      <c r="AJ19" s="203"/>
      <c r="AK19" s="203"/>
      <c r="AL19" s="203" t="str">
        <f ca="1">B10</f>
        <v>みぎて</v>
      </c>
      <c r="AM19" s="203"/>
      <c r="AN19" s="203"/>
      <c r="AO19" s="203"/>
      <c r="AP19" s="203" t="str">
        <f ca="1">B11</f>
        <v>みぎて</v>
      </c>
      <c r="AQ19" s="203"/>
      <c r="AR19" s="203"/>
      <c r="AS19" s="203"/>
      <c r="AT19" s="64"/>
      <c r="AU19" s="72"/>
    </row>
    <row r="20" spans="1:47" x14ac:dyDescent="0.15">
      <c r="A20" s="70"/>
      <c r="B20" s="196" t="str">
        <f t="shared" ref="B20:B27" ca="1" si="0">AA4</f>
        <v>主人公</v>
      </c>
      <c r="C20" s="197"/>
      <c r="D20" s="197"/>
      <c r="E20" s="200"/>
      <c r="F20" s="183" t="s">
        <v>716</v>
      </c>
      <c r="G20" s="184"/>
      <c r="H20" s="184"/>
      <c r="I20" s="185"/>
      <c r="J20" s="189" t="s">
        <v>466</v>
      </c>
      <c r="K20" s="190"/>
      <c r="L20" s="189" t="s">
        <v>466</v>
      </c>
      <c r="M20" s="190"/>
      <c r="N20" s="209">
        <f ca="1">IF(OR($B20="",N$19="",$F20=""),"",IF(補助シート!$CC16="会心",ROUNDDOWN(AF4*121/128,0),IF(補助シート!$CC16="魔力",ROUNDDOWN(AE4*3*補助シート!AW39,0),MAX(0,ROUNDDOWN(IF(補助シート!AW$9="あり",0.5,1)*ROUNDDOWN(IF(補助シート!$AU16="なし",1,補助シート!AW39)*(ROUNDDOWN(IF(AND(補助シート!AW$9="大防御",NOT(補助シート!$AV39="高")),0.1,1)*ROUNDDOWN(IF(AND(補助シート!AW$7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AW$6=1,補助シート!$CC16="隊列"))),2,1)*ROUNDDOWN(HLOOKUP(補助シート!AW$6,味方隊列,MATCH($F20,味方技リスト,0)+1)*(IF(補助シート!$AV16="物理",補助シート!AW16,IF(補助シート!$AV16="魔",補助シート!AW50,VLOOKUP($F20,味方技,2,0)))),0)),0)),0),0)),0),0)))))</f>
        <v>48</v>
      </c>
      <c r="O20" s="210"/>
      <c r="P20" s="209">
        <f ca="1">IF(OR($B20="",N$19="",$F20=""),"",IF(補助シート!$CC16="会心",ROUNDDOWN(AF4*134/128,0),IF(補助シート!$CC16="魔力",ROUNDDOWN(AE4*3*補助シート!AW39,0),MAX(IF(補助シート!$AU16="なし",1,0),ROUNDDOWN(IF(補助シート!AY$9="あり",0.5,1)*ROUNDDOWN(IF(補助シート!$AU16="なし",1,補助シート!AY39)*(ROUNDDOWN(IF(AND(補助シート!AY$9="大防御",NOT(補助シート!$AV39="高")),0.1,1)*ROUNDDOWN(IF(AND(補助シート!AY$7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AY$6=1,補助シート!$CC16="隊列"))),2,1)*ROUNDDOWN(HLOOKUP(補助シート!AY$6,味方隊列,MATCH($F20,味方技リスト,0)+1)*(IF(補助シート!$AV16="物理",補助シート!AY16,IF(補助シート!$AV16="魔",補助シート!AY50,VLOOKUP($F20,味方技,3,0)))),0)),0)),0),0)),0),0)))))</f>
        <v>62</v>
      </c>
      <c r="Q20" s="210"/>
      <c r="R20" s="209">
        <f ca="1">IF(OR($B20="",R$19="",$F20=""),"",IF(補助シート!$CC16="会心",ROUNDDOWN(AJ4*121/128,0),IF(補助シート!$CC16="魔力",ROUNDDOWN(AI4*3*補助シート!BA39,0),MAX(0,ROUNDDOWN(IF(補助シート!BA$9="あり",0.5,1)*ROUNDDOWN(IF(補助シート!$AU16="なし",1,補助シート!BA39)*(ROUNDDOWN(IF(AND(補助シート!BA$9="大防御",NOT(補助シート!$AV39="高")),0.1,1)*ROUNDDOWN(IF(AND(補助シート!BA$7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A$6=1,補助シート!$CC16="隊列"))),2,1)*ROUNDDOWN(HLOOKUP(補助シート!BA$6,味方隊列,MATCH($F20,味方技リスト,0)+1)*(IF(補助シート!$AV16="物理",補助シート!BA16,IF(補助シート!$AV16="魔",補助シート!BA50,VLOOKUP($F20,味方技,2,0)))),0)),0)),0),0)),0),0)))))</f>
        <v>48</v>
      </c>
      <c r="S20" s="210"/>
      <c r="T20" s="209">
        <f ca="1">IF(OR($B20="",R$19="",$F20=""),"",IF(補助シート!$CC16="会心",ROUNDDOWN(AJ4*134/128,0),IF(補助シート!$CC16="魔力",ROUNDDOWN(AI4*3*補助シート!BA39,0),MAX(IF(補助シート!$AU16="なし",1,0),ROUNDDOWN(IF(補助シート!BC$9="あり",0.5,1)*ROUNDDOWN(IF(補助シート!$AU16="なし",1,補助シート!BC39)*(ROUNDDOWN(IF(AND(補助シート!BC$9="大防御",NOT(補助シート!$AV39="高")),0.1,1)*ROUNDDOWN(IF(AND(補助シート!BC$7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C$6=1,補助シート!$CC16="隊列"))),2,1)*ROUNDDOWN(HLOOKUP(補助シート!BC$6,味方隊列,MATCH($F20,味方技リスト,0)+1)*(IF(補助シート!$AV16="物理",補助シート!BC16,IF(補助シート!$AV16="魔",補助シート!BC50,VLOOKUP($F20,味方技,3,0)))),0)),0)),0),0)),0),0)))))</f>
        <v>62</v>
      </c>
      <c r="U20" s="210"/>
      <c r="V20" s="209">
        <f ca="1">IF(OR($B20="",V$19="",$F20=""),"",IF(補助シート!$CC16="会心",ROUNDDOWN(AN4*121/128,0),IF(補助シート!$CC16="魔力",ROUNDDOWN(AM4*3*補助シート!BE39,0),MAX(0,ROUNDDOWN(IF(補助シート!BE$9="あり",0.5,1)*ROUNDDOWN(IF(補助シート!$AU16="なし",1,補助シート!BE39)*(ROUNDDOWN(IF(AND(補助シート!BE$9="大防御",NOT(補助シート!$AV39="高")),0.1,1)*ROUNDDOWN(IF(AND(補助シート!BE$7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E$6=1,補助シート!$CC16="隊列"))),2,1)*ROUNDDOWN(HLOOKUP(補助シート!BE$6,味方隊列,MATCH($F20,味方技リスト,0)+1)*(IF(補助シート!$AV16="物理",補助シート!BE16,IF(補助シート!$AV16="魔",補助シート!BE50,VLOOKUP($F20,味方技,2,0)))),0)),0)),0),0)),0),0)))))</f>
        <v>48</v>
      </c>
      <c r="W20" s="210"/>
      <c r="X20" s="209">
        <f ca="1">IF(OR($B20="",V$19="",$F20=""),"",IF(補助シート!$CC16="会心",ROUNDDOWN(AN4*134/128,0),IF(補助シート!$CC16="魔力",ROUNDDOWN(AM4*3*補助シート!BE39,0),MAX(IF(補助シート!$AU16="なし",1,0),ROUNDDOWN(IF(補助シート!BG$9="あり",0.5,1)*ROUNDDOWN(IF(補助シート!$AU16="なし",1,補助シート!BG39)*(ROUNDDOWN(IF(AND(補助シート!BG$9="大防御",NOT(補助シート!$AV39="高")),0.1,1)*ROUNDDOWN(IF(AND(補助シート!BG$7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G$6=1,補助シート!$CC16="隊列"))),2,1)*ROUNDDOWN(HLOOKUP(補助シート!BG$6,味方隊列,MATCH($F20,味方技リスト,0)+1)*(IF(補助シート!$AV16="物理",補助シート!BG16,IF(補助シート!$AV16="魔",補助シート!BG50,VLOOKUP($F20,味方技,3,0)))),0)),0)),0),0)),0),0)))))</f>
        <v>62</v>
      </c>
      <c r="Y20" s="210"/>
      <c r="Z20" s="209">
        <f ca="1">IF(OR($B20="",Z$19="",$F20=""),"",IF(補助シート!$CC16="会心",ROUNDDOWN(AR4*121/128,0),IF(補助シート!$CC16="魔力",ROUNDDOWN(AQ4*3*補助シート!BI39,0),MAX(0,ROUNDDOWN(IF(補助シート!BI$9="あり",0.5,1)*ROUNDDOWN(IF(補助シート!$AU16="なし",1,補助シート!BI39)*(ROUNDDOWN(IF(AND(補助シート!BI$9="大防御",NOT(補助シート!$AV39="高")),0.1,1)*ROUNDDOWN(IF(AND(補助シート!BI$7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I$6=1,補助シート!$CC16="隊列"))),2,1)*ROUNDDOWN(HLOOKUP(補助シート!BI$6,味方隊列,MATCH($F20,味方技リスト,0)+1)*(IF(補助シート!$AV16="物理",補助シート!BI16,IF(補助シート!$AV16="魔",補助シート!BI50,VLOOKUP($F20,味方技,2,0)))),0)),0)),0),0)),0),0)))))</f>
        <v>48</v>
      </c>
      <c r="AA20" s="210"/>
      <c r="AB20" s="209">
        <f ca="1">IF(OR($B20="",Z$19="",$F20=""),"",IF(補助シート!$CC16="会心",ROUNDDOWN(AR4*134/128,0),IF(補助シート!$CC16="魔力",ROUNDDOWN(AQ4*3*補助シート!BI39,0),MAX(IF(補助シート!$AU16="なし",1,0),ROUNDDOWN(IF(補助シート!BK$9="あり",0.5,1)*ROUNDDOWN(IF(補助シート!$AU16="なし",1,補助シート!BK39)*(ROUNDDOWN(IF(AND(補助シート!BK$9="大防御",NOT(補助シート!$AV39="高")),0.1,1)*ROUNDDOWN(IF(AND(補助シート!BK$7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K$6=1,補助シート!$CC16="隊列"))),2,1)*ROUNDDOWN(HLOOKUP(補助シート!BK$6,味方隊列,MATCH($F20,味方技リスト,0)+1)*(IF(補助シート!$AV16="物理",補助シート!BK16,IF(補助シート!$AV16="魔",補助シート!BK50,VLOOKUP($F20,味方技,3,0)))),0)),0)),0),0)),0),0)))))</f>
        <v>62</v>
      </c>
      <c r="AC20" s="210"/>
      <c r="AD20" s="209">
        <f ca="1">IF(OR($B20="",AD$19="",$F20=""),"",IF(補助シート!$CC16="会心",ROUNDDOWN(AV4*121/128,0),IF(補助シート!$CC16="魔力",ROUNDDOWN(AU4*3*補助シート!BM39,0),MAX(0,ROUNDDOWN(IF(補助シート!BM$9="あり",0.5,1)*ROUNDDOWN(IF(補助シート!$AU16="なし",1,補助シート!BM39)*(ROUNDDOWN(IF(AND(補助シート!BM$9="大防御",NOT(補助シート!$AV39="高")),0.1,1)*ROUNDDOWN(IF(AND(補助シート!BM$7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M$6=1,補助シート!$CC16="隊列"))),2,1)*ROUNDDOWN(HLOOKUP(補助シート!BM$6,味方隊列,MATCH($F20,味方技リスト,0)+1)*(IF(補助シート!$AV16="物理",補助シート!BM16,IF(補助シート!$AV16="魔",補助シート!BM50,VLOOKUP($F20,味方技,2,0)))),0)),0)),0),0)),0),0)))))</f>
        <v>48</v>
      </c>
      <c r="AE20" s="210"/>
      <c r="AF20" s="209">
        <f ca="1">IF(OR($B20="",AD$19="",$F20=""),"",IF(補助シート!$CC16="会心",ROUNDDOWN(AV4*134/128,0),IF(補助シート!$CC16="魔力",ROUNDDOWN(AU4*3*補助シート!BM39,0),MAX(IF(補助シート!$AU16="なし",1,0),ROUNDDOWN(IF(補助シート!BO$9="あり",0.5,1)*ROUNDDOWN(IF(補助シート!$AU16="なし",1,補助シート!BO39)*(ROUNDDOWN(IF(AND(補助シート!BO$9="大防御",NOT(補助シート!$AV39="高")),0.1,1)*ROUNDDOWN(IF(AND(補助シート!BO$7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O$6=1,補助シート!$CC16="隊列"))),2,1)*ROUNDDOWN(HLOOKUP(補助シート!BO$6,味方隊列,MATCH($F20,味方技リスト,0)+1)*(IF(補助シート!$AV16="物理",補助シート!BO16,IF(補助シート!$AV16="魔",補助シート!BO50,VLOOKUP($F20,味方技,3,0)))),0)),0)),0),0)),0),0)))))</f>
        <v>62</v>
      </c>
      <c r="AG20" s="210"/>
      <c r="AH20" s="209">
        <f ca="1">IF(OR($B20="",AH$19="",$F20=""),"",IF(補助シート!$CC16="会心",ROUNDDOWN(AZ4*121/128,0),IF(補助シート!$CC16="魔力",ROUNDDOWN(AY4*3*補助シート!BQ39,0),MAX(0,ROUNDDOWN(IF(補助シート!BQ$9="あり",0.5,1)*ROUNDDOWN(IF(補助シート!$AU16="なし",1,補助シート!BQ39)*(ROUNDDOWN(IF(AND(補助シート!BQ$9="大防御",NOT(補助シート!$AV39="高")),0.1,1)*ROUNDDOWN(IF(AND(補助シート!BQ$7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Q$6=1,補助シート!$CC16="隊列"))),2,1)*ROUNDDOWN(HLOOKUP(補助シート!BQ$6,味方隊列,MATCH($F20,味方技リスト,0)+1)*(IF(補助シート!$AV16="物理",補助シート!BQ16,IF(補助シート!$AV16="魔",補助シート!BQ50,VLOOKUP($F20,味方技,2,0)))),0)),0)),0),0)),0),0)))))</f>
        <v>48</v>
      </c>
      <c r="AI20" s="210"/>
      <c r="AJ20" s="209">
        <f ca="1">IF(OR($B20="",AH$19="",$F20=""),"",IF(補助シート!$CC16="会心",ROUNDDOWN(AZ4*134/128,0),IF(補助シート!$CC16="魔力",ROUNDDOWN(AY4*3*補助シート!BQ39,0),MAX(IF(補助シート!$AU16="なし",1,0),ROUNDDOWN(IF(補助シート!BS$9="あり",0.5,1)*ROUNDDOWN(IF(補助シート!$AU16="なし",1,補助シート!BS39)*(ROUNDDOWN(IF(AND(補助シート!BS$9="大防御",NOT(補助シート!$AV39="高")),0.1,1)*ROUNDDOWN(IF(AND(補助シート!BS$7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S$6=1,補助シート!$CC16="隊列"))),2,1)*ROUNDDOWN(HLOOKUP(補助シート!BS$6,味方隊列,MATCH($F20,味方技リスト,0)+1)*(IF(補助シート!$AV16="物理",補助シート!BS16,IF(補助シート!$AV16="魔",補助シート!BS50,VLOOKUP($F20,味方技,3,0)))),0)),0)),0),0)),0),0)))))</f>
        <v>62</v>
      </c>
      <c r="AK20" s="210"/>
      <c r="AL20" s="209">
        <f ca="1">IF(OR($B20="",AL$19="",$F20=""),"",IF(補助シート!$CC16="会心",ROUNDDOWN(BD4*121/128,0),IF(補助シート!$CC16="魔力",ROUNDDOWN(BC4*3*補助シート!BU39,0),MAX(0,ROUNDDOWN(IF(補助シート!BU$9="あり",0.5,1)*ROUNDDOWN(IF(補助シート!$AU16="なし",1,補助シート!BU39)*(ROUNDDOWN(IF(AND(補助シート!BU$9="大防御",NOT(補助シート!$AV39="高")),0.1,1)*ROUNDDOWN(IF(AND(補助シート!BU$7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U$6=1,補助シート!$CC16="隊列"))),2,1)*ROUNDDOWN(HLOOKUP(補助シート!BU$6,味方隊列,MATCH($F20,味方技リスト,0)+1)*(IF(補助シート!$AV16="物理",補助シート!BU16,IF(補助シート!$AV16="魔",補助シート!BU50,VLOOKUP($F20,味方技,2,0)))),0)),0)),0),0)),0),0)))))</f>
        <v>70</v>
      </c>
      <c r="AM20" s="210"/>
      <c r="AN20" s="209">
        <f ca="1">IF(OR($B20="",AL$19="",$F20=""),"",IF(補助シート!$CC16="会心",ROUNDDOWN(BD4*134/128,0),IF(補助シート!$CC16="魔力",ROUNDDOWN(BC4*3*補助シート!BU39,0),MAX(IF(補助シート!$AU16="なし",1,0),ROUNDDOWN(IF(補助シート!BW$9="あり",0.5,1)*ROUNDDOWN(IF(補助シート!$AU16="なし",1,補助シート!BW39)*(ROUNDDOWN(IF(AND(補助シート!BW$9="大防御",NOT(補助シート!$AV39="高")),0.1,1)*ROUNDDOWN(IF(AND(補助シート!BW$7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BW$6=1,補助シート!$CC16="隊列"))),2,1)*ROUNDDOWN(HLOOKUP(補助シート!BW$6,味方隊列,MATCH($F20,味方技リスト,0)+1)*(IF(補助シート!$AV16="物理",補助シート!BW16,IF(補助シート!$AV16="魔",補助シート!BW50,VLOOKUP($F20,味方技,3,0)))),0)),0)),0),0)),0),0)))))</f>
        <v>90</v>
      </c>
      <c r="AO20" s="210"/>
      <c r="AP20" s="209">
        <f ca="1">IF(OR($B20="",AP$19="",$F20=""),"",IF(補助シート!$CC16="会心",ROUNDDOWN(BH4*121/128,0),IF(補助シート!$CC16="魔力",ROUNDDOWN(BG4*3*補助シート!BY39,0),MAX(0,ROUNDDOWN(IF(補助シート!BY$9="あり",0.5,1)*ROUNDDOWN(IF(補助シート!$AU16="なし",1,補助シート!BY39)*(ROUNDDOWN(IF(AND(補助シート!BY$9="大防御",NOT(補助シート!$AV39="高")),0.1,1)*ROUNDDOWN(IF(AND(補助シート!BY$7="あり",OR(補助シート!$AU16="炎",補助シート!$AU16="雪")),0.5,1)*(ROUNDDOWN(IF(AND(OR(補助シート!$AV16="物理",補助シート!$AV16="魔"),$L20="あり",NOT(補助シート!$CC16="倍無")),補助シート!$F$49,1)*(IF(AND(OR(補助シート!$AV16="物理",補助シート!$AV16="魔"),$J20="あり",NOT(補助シート!$CC16="倍無"),OR(NOT(補助シート!$CC16="隊列"),AND(補助シート!BY$6=1,補助シート!$CC16="隊列"))),2,1)*ROUNDDOWN(HLOOKUP(補助シート!BY$6,味方隊列,MATCH($F20,味方技リスト,0)+1)*(IF(補助シート!$AV16="物理",補助シート!BY16,IF(補助シート!$AV16="魔",補助シート!BY50,VLOOKUP($F20,味方技,2,0)))),0)),0)),0),0)),0),0)))))</f>
        <v>70</v>
      </c>
      <c r="AQ20" s="210"/>
      <c r="AR20" s="209">
        <f ca="1">IF(OR($B20="",AP$19="",$F20=""),"",IF(補助シート!$CC16="会心",ROUNDDOWN(BH4*134/128,0),IF(補助シート!$CC16="魔力",ROUNDDOWN(BG4*3*補助シート!BY39,0),MAX(IF(補助シート!$AU16="なし",1,0),ROUNDDOWN(IF(補助シート!CA$9="あり",0.5,1)*ROUNDDOWN(IF(補助シート!$AU16="なし",1,補助シート!CA39)*(ROUNDDOWN(IF(AND(補助シート!CA$9="大防御",NOT(補助シート!$AV39="高")),0.1,1)*ROUNDDOWN(IF(AND(補助シート!CA$7="あり",OR(補助シート!$AU16="炎",補助シート!$AU16="雪")),0.5,1)*(ROUNDDOWN(IF(AND(OR(補助シート!$AV16="物理",補助シート!$AV16="魔"),$L20="あり",NOT(補助シート!$CC16="倍無")),補助シート!$F$50,1)*(IF(AND(OR(補助シート!$AV16="物理",補助シート!$AV16="魔"),$J20="あり",NOT(補助シート!$CC16="倍無"),OR(NOT(補助シート!$CC16="隊列"),AND(補助シート!CA$6=1,補助シート!$CC16="隊列"))),2,1)*ROUNDDOWN(HLOOKUP(補助シート!CA$6,味方隊列,MATCH($F20,味方技リスト,0)+1)*(IF(補助シート!$AV16="物理",補助シート!CA16,IF(補助シート!$AV16="魔",補助シート!CA50,VLOOKUP($F20,味方技,3,0)))),0)),0)),0),0)),0),0)))))</f>
        <v>90</v>
      </c>
      <c r="AS20" s="210"/>
      <c r="AT20" s="64"/>
      <c r="AU20" s="72"/>
    </row>
    <row r="21" spans="1:47" x14ac:dyDescent="0.15">
      <c r="A21" s="70"/>
      <c r="B21" s="214" t="str">
        <f t="shared" ca="1" si="0"/>
        <v>ハッサン</v>
      </c>
      <c r="C21" s="215"/>
      <c r="D21" s="215"/>
      <c r="E21" s="216"/>
      <c r="F21" s="183" t="s">
        <v>210</v>
      </c>
      <c r="G21" s="184"/>
      <c r="H21" s="184"/>
      <c r="I21" s="185"/>
      <c r="J21" s="189" t="s">
        <v>724</v>
      </c>
      <c r="K21" s="190"/>
      <c r="L21" s="189" t="s">
        <v>724</v>
      </c>
      <c r="M21" s="190"/>
      <c r="N21" s="209">
        <f ca="1">IF(OR($B21="",N$19="",$F21=""),"",IF(補助シート!$CC17="会心",ROUNDDOWN(AF5*121/128,0),IF(補助シート!$CC17="魔力",ROUNDDOWN(AE5*3*補助シート!AW40,0),MAX(0,ROUNDDOWN(IF(補助シート!AW$9="あり",0.5,1)*ROUNDDOWN(IF(補助シート!$AU17="なし",1,補助シート!AW40)*(ROUNDDOWN(IF(AND(補助シート!AW$9="大防御",NOT(補助シート!$AV40="高")),0.1,1)*ROUNDDOWN(IF(AND(補助シート!AW$7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AW$6=1,補助シート!$CC17="隊列"))),2,1)*ROUNDDOWN(HLOOKUP(補助シート!AW$6,味方隊列,MATCH($F21,味方技リスト,0)+1)*(IF(補助シート!$AV17="物理",補助シート!AW17,IF(補助シート!$AV17="魔",補助シート!AW51,VLOOKUP($F21,味方技,2,0)))),0)),0)),0),0)),0),0)))))</f>
        <v>448</v>
      </c>
      <c r="O21" s="210"/>
      <c r="P21" s="209">
        <f ca="1">IF(OR($B21="",N$19="",$F21=""),"",IF(補助シート!$CC17="会心",ROUNDDOWN(AF5*134/128,0),IF(補助シート!$CC17="魔力",ROUNDDOWN(AE5*3*補助シート!AW40,0),MAX(IF(補助シート!$AU17="なし",1,0),ROUNDDOWN(IF(補助シート!AY$9="あり",0.5,1)*ROUNDDOWN(IF(補助シート!$AU17="なし",1,補助シート!AY40)*(ROUNDDOWN(IF(AND(補助シート!AY$9="大防御",NOT(補助シート!$AV40="高")),0.1,1)*ROUNDDOWN(IF(AND(補助シート!AY$7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AY$6=1,補助シート!$CC17="隊列"))),2,1)*ROUNDDOWN(HLOOKUP(補助シート!AY$6,味方隊列,MATCH($F21,味方技リスト,0)+1)*(IF(補助シート!$AV17="物理",補助シート!AY17,IF(補助シート!$AV17="魔",補助シート!AY51,VLOOKUP($F21,味方技,3,0)))),0)),0)),0),0)),0),0)))))</f>
        <v>640</v>
      </c>
      <c r="Q21" s="210"/>
      <c r="R21" s="209">
        <f ca="1">IF(OR($B21="",R$19="",$F21=""),"",IF(補助シート!$CC17="会心",ROUNDDOWN(AJ5*121/128,0),IF(補助シート!$CC17="魔力",ROUNDDOWN(AI5*3*補助シート!BA40,0),MAX(0,ROUNDDOWN(IF(補助シート!BA$9="あり",0.5,1)*ROUNDDOWN(IF(補助シート!$AU17="なし",1,補助シート!BA40)*(ROUNDDOWN(IF(AND(補助シート!BA$9="大防御",NOT(補助シート!$AV40="高")),0.1,1)*ROUNDDOWN(IF(AND(補助シート!BA$7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A$6=1,補助シート!$CC17="隊列"))),2,1)*ROUNDDOWN(HLOOKUP(補助シート!BA$6,味方隊列,MATCH($F21,味方技リスト,0)+1)*(IF(補助シート!$AV17="物理",補助シート!BA17,IF(補助シート!$AV17="魔",補助シート!BA51,VLOOKUP($F21,味方技,2,0)))),0)),0)),0),0)),0),0)))))</f>
        <v>448</v>
      </c>
      <c r="S21" s="210"/>
      <c r="T21" s="209">
        <f ca="1">IF(OR($B21="",R$19="",$F21=""),"",IF(補助シート!$CC17="会心",ROUNDDOWN(AJ5*134/128,0),IF(補助シート!$CC17="魔力",ROUNDDOWN(AI5*3*補助シート!BA40,0),MAX(IF(補助シート!$AU17="なし",1,0),ROUNDDOWN(IF(補助シート!BC$9="あり",0.5,1)*ROUNDDOWN(IF(補助シート!$AU17="なし",1,補助シート!BC40)*(ROUNDDOWN(IF(AND(補助シート!BC$9="大防御",NOT(補助シート!$AV40="高")),0.1,1)*ROUNDDOWN(IF(AND(補助シート!BC$7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C$6=1,補助シート!$CC17="隊列"))),2,1)*ROUNDDOWN(HLOOKUP(補助シート!BC$6,味方隊列,MATCH($F21,味方技リスト,0)+1)*(IF(補助シート!$AV17="物理",補助シート!BC17,IF(補助シート!$AV17="魔",補助シート!BC51,VLOOKUP($F21,味方技,3,0)))),0)),0)),0),0)),0),0)))))</f>
        <v>640</v>
      </c>
      <c r="U21" s="210"/>
      <c r="V21" s="209">
        <f ca="1">IF(OR($B21="",V$19="",$F21=""),"",IF(補助シート!$CC17="会心",ROUNDDOWN(AN5*121/128,0),IF(補助シート!$CC17="魔力",ROUNDDOWN(AM5*3*補助シート!BE40,0),MAX(0,ROUNDDOWN(IF(補助シート!BE$9="あり",0.5,1)*ROUNDDOWN(IF(補助シート!$AU17="なし",1,補助シート!BE40)*(ROUNDDOWN(IF(AND(補助シート!BE$9="大防御",NOT(補助シート!$AV40="高")),0.1,1)*ROUNDDOWN(IF(AND(補助シート!BE$7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E$6=1,補助シート!$CC17="隊列"))),2,1)*ROUNDDOWN(HLOOKUP(補助シート!BE$6,味方隊列,MATCH($F21,味方技リスト,0)+1)*(IF(補助シート!$AV17="物理",補助シート!BE17,IF(補助シート!$AV17="魔",補助シート!BE51,VLOOKUP($F21,味方技,2,0)))),0)),0)),0),0)),0),0)))))</f>
        <v>448</v>
      </c>
      <c r="W21" s="210"/>
      <c r="X21" s="209">
        <f ca="1">IF(OR($B21="",V$19="",$F21=""),"",IF(補助シート!$CC17="会心",ROUNDDOWN(AN5*134/128,0),IF(補助シート!$CC17="魔力",ROUNDDOWN(AM5*3*補助シート!BE40,0),MAX(IF(補助シート!$AU17="なし",1,0),ROUNDDOWN(IF(補助シート!BG$9="あり",0.5,1)*ROUNDDOWN(IF(補助シート!$AU17="なし",1,補助シート!BG40)*(ROUNDDOWN(IF(AND(補助シート!BG$9="大防御",NOT(補助シート!$AV40="高")),0.1,1)*ROUNDDOWN(IF(AND(補助シート!BG$7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G$6=1,補助シート!$CC17="隊列"))),2,1)*ROUNDDOWN(HLOOKUP(補助シート!BG$6,味方隊列,MATCH($F21,味方技リスト,0)+1)*(IF(補助シート!$AV17="物理",補助シート!BG17,IF(補助シート!$AV17="魔",補助シート!BG51,VLOOKUP($F21,味方技,3,0)))),0)),0)),0),0)),0),0)))))</f>
        <v>640</v>
      </c>
      <c r="Y21" s="210"/>
      <c r="Z21" s="209">
        <f ca="1">IF(OR($B21="",Z$19="",$F21=""),"",IF(補助シート!$CC17="会心",ROUNDDOWN(AR5*121/128,0),IF(補助シート!$CC17="魔力",ROUNDDOWN(AQ5*3*補助シート!BI40,0),MAX(0,ROUNDDOWN(IF(補助シート!BI$9="あり",0.5,1)*ROUNDDOWN(IF(補助シート!$AU17="なし",1,補助シート!BI40)*(ROUNDDOWN(IF(AND(補助シート!BI$9="大防御",NOT(補助シート!$AV40="高")),0.1,1)*ROUNDDOWN(IF(AND(補助シート!BI$7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I$6=1,補助シート!$CC17="隊列"))),2,1)*ROUNDDOWN(HLOOKUP(補助シート!BI$6,味方隊列,MATCH($F21,味方技リスト,0)+1)*(IF(補助シート!$AV17="物理",補助シート!BI17,IF(補助シート!$AV17="魔",補助シート!BI51,VLOOKUP($F21,味方技,2,0)))),0)),0)),0),0)),0),0)))))</f>
        <v>448</v>
      </c>
      <c r="AA21" s="210"/>
      <c r="AB21" s="209">
        <f ca="1">IF(OR($B21="",Z$19="",$F21=""),"",IF(補助シート!$CC17="会心",ROUNDDOWN(AR5*134/128,0),IF(補助シート!$CC17="魔力",ROUNDDOWN(AQ5*3*補助シート!BI40,0),MAX(IF(補助シート!$AU17="なし",1,0),ROUNDDOWN(IF(補助シート!BK$9="あり",0.5,1)*ROUNDDOWN(IF(補助シート!$AU17="なし",1,補助シート!BK40)*(ROUNDDOWN(IF(AND(補助シート!BK$9="大防御",NOT(補助シート!$AV40="高")),0.1,1)*ROUNDDOWN(IF(AND(補助シート!BK$7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K$6=1,補助シート!$CC17="隊列"))),2,1)*ROUNDDOWN(HLOOKUP(補助シート!BK$6,味方隊列,MATCH($F21,味方技リスト,0)+1)*(IF(補助シート!$AV17="物理",補助シート!BK17,IF(補助シート!$AV17="魔",補助シート!BK51,VLOOKUP($F21,味方技,3,0)))),0)),0)),0),0)),0),0)))))</f>
        <v>640</v>
      </c>
      <c r="AC21" s="210"/>
      <c r="AD21" s="209">
        <f ca="1">IF(OR($B21="",AD$19="",$F21=""),"",IF(補助シート!$CC17="会心",ROUNDDOWN(AV5*121/128,0),IF(補助シート!$CC17="魔力",ROUNDDOWN(AU5*3*補助シート!BM40,0),MAX(0,ROUNDDOWN(IF(補助シート!BM$9="あり",0.5,1)*ROUNDDOWN(IF(補助シート!$AU17="なし",1,補助シート!BM40)*(ROUNDDOWN(IF(AND(補助シート!BM$9="大防御",NOT(補助シート!$AV40="高")),0.1,1)*ROUNDDOWN(IF(AND(補助シート!BM$7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M$6=1,補助シート!$CC17="隊列"))),2,1)*ROUNDDOWN(HLOOKUP(補助シート!BM$6,味方隊列,MATCH($F21,味方技リスト,0)+1)*(IF(補助シート!$AV17="物理",補助シート!BM17,IF(補助シート!$AV17="魔",補助シート!BM51,VLOOKUP($F21,味方技,2,0)))),0)),0)),0),0)),0),0)))))</f>
        <v>448</v>
      </c>
      <c r="AE21" s="210"/>
      <c r="AF21" s="209">
        <f ca="1">IF(OR($B21="",AD$19="",$F21=""),"",IF(補助シート!$CC17="会心",ROUNDDOWN(AV5*134/128,0),IF(補助シート!$CC17="魔力",ROUNDDOWN(AU5*3*補助シート!BM40,0),MAX(IF(補助シート!$AU17="なし",1,0),ROUNDDOWN(IF(補助シート!BO$9="あり",0.5,1)*ROUNDDOWN(IF(補助シート!$AU17="なし",1,補助シート!BO40)*(ROUNDDOWN(IF(AND(補助シート!BO$9="大防御",NOT(補助シート!$AV40="高")),0.1,1)*ROUNDDOWN(IF(AND(補助シート!BO$7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O$6=1,補助シート!$CC17="隊列"))),2,1)*ROUNDDOWN(HLOOKUP(補助シート!BO$6,味方隊列,MATCH($F21,味方技リスト,0)+1)*(IF(補助シート!$AV17="物理",補助シート!BO17,IF(補助シート!$AV17="魔",補助シート!BO51,VLOOKUP($F21,味方技,3,0)))),0)),0)),0),0)),0),0)))))</f>
        <v>640</v>
      </c>
      <c r="AG21" s="210"/>
      <c r="AH21" s="209">
        <f ca="1">IF(OR($B21="",AH$19="",$F21=""),"",IF(補助シート!$CC17="会心",ROUNDDOWN(AZ5*121/128,0),IF(補助シート!$CC17="魔力",ROUNDDOWN(AY5*3*補助シート!BQ40,0),MAX(0,ROUNDDOWN(IF(補助シート!BQ$9="あり",0.5,1)*ROUNDDOWN(IF(補助シート!$AU17="なし",1,補助シート!BQ40)*(ROUNDDOWN(IF(AND(補助シート!BQ$9="大防御",NOT(補助シート!$AV40="高")),0.1,1)*ROUNDDOWN(IF(AND(補助シート!BQ$7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Q$6=1,補助シート!$CC17="隊列"))),2,1)*ROUNDDOWN(HLOOKUP(補助シート!BQ$6,味方隊列,MATCH($F21,味方技リスト,0)+1)*(IF(補助シート!$AV17="物理",補助シート!BQ17,IF(補助シート!$AV17="魔",補助シート!BQ51,VLOOKUP($F21,味方技,2,0)))),0)),0)),0),0)),0),0)))))</f>
        <v>744</v>
      </c>
      <c r="AI21" s="210"/>
      <c r="AJ21" s="209">
        <f ca="1">IF(OR($B21="",AH$19="",$F21=""),"",IF(補助シート!$CC17="会心",ROUNDDOWN(AZ5*134/128,0),IF(補助シート!$CC17="魔力",ROUNDDOWN(AY5*3*補助シート!BQ40,0),MAX(IF(補助シート!$AU17="なし",1,0),ROUNDDOWN(IF(補助シート!BS$9="あり",0.5,1)*ROUNDDOWN(IF(補助シート!$AU17="なし",1,補助シート!BS40)*(ROUNDDOWN(IF(AND(補助シート!BS$9="大防御",NOT(補助シート!$AV40="高")),0.1,1)*ROUNDDOWN(IF(AND(補助シート!BS$7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S$6=1,補助シート!$CC17="隊列"))),2,1)*ROUNDDOWN(HLOOKUP(補助シート!BS$6,味方隊列,MATCH($F21,味方技リスト,0)+1)*(IF(補助シート!$AV17="物理",補助シート!BS17,IF(補助シート!$AV17="魔",補助シート!BS51,VLOOKUP($F21,味方技,3,0)))),0)),0)),0),0)),0),0)))))</f>
        <v>1070</v>
      </c>
      <c r="AK21" s="210"/>
      <c r="AL21" s="209">
        <f ca="1">IF(OR($B21="",AL$19="",$F21=""),"",IF(補助シート!$CC17="会心",ROUNDDOWN(BD5*121/128,0),IF(補助シート!$CC17="魔力",ROUNDDOWN(BC5*3*補助シート!BU40,0),MAX(0,ROUNDDOWN(IF(補助シート!BU$9="あり",0.5,1)*ROUNDDOWN(IF(補助シート!$AU17="なし",1,補助シート!BU40)*(ROUNDDOWN(IF(AND(補助シート!BU$9="大防御",NOT(補助シート!$AV40="高")),0.1,1)*ROUNDDOWN(IF(AND(補助シート!BU$7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U$6=1,補助シート!$CC17="隊列"))),2,1)*ROUNDDOWN(HLOOKUP(補助シート!BU$6,味方隊列,MATCH($F21,味方技リスト,0)+1)*(IF(補助シート!$AV17="物理",補助シート!BU17,IF(補助シート!$AV17="魔",補助シート!BU51,VLOOKUP($F21,味方技,2,0)))),0)),0)),0),0)),0),0)))))</f>
        <v>744</v>
      </c>
      <c r="AM21" s="210"/>
      <c r="AN21" s="209">
        <f ca="1">IF(OR($B21="",AL$19="",$F21=""),"",IF(補助シート!$CC17="会心",ROUNDDOWN(BD5*134/128,0),IF(補助シート!$CC17="魔力",ROUNDDOWN(BC5*3*補助シート!BU40,0),MAX(IF(補助シート!$AU17="なし",1,0),ROUNDDOWN(IF(補助シート!BW$9="あり",0.5,1)*ROUNDDOWN(IF(補助シート!$AU17="なし",1,補助シート!BW40)*(ROUNDDOWN(IF(AND(補助シート!BW$9="大防御",NOT(補助シート!$AV40="高")),0.1,1)*ROUNDDOWN(IF(AND(補助シート!BW$7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BW$6=1,補助シート!$CC17="隊列"))),2,1)*ROUNDDOWN(HLOOKUP(補助シート!BW$6,味方隊列,MATCH($F21,味方技リスト,0)+1)*(IF(補助シート!$AV17="物理",補助シート!BW17,IF(補助シート!$AV17="魔",補助シート!BW51,VLOOKUP($F21,味方技,3,0)))),0)),0)),0),0)),0),0)))))</f>
        <v>1070</v>
      </c>
      <c r="AO21" s="210"/>
      <c r="AP21" s="209">
        <f ca="1">IF(OR($B21="",AP$19="",$F21=""),"",IF(補助シート!$CC17="会心",ROUNDDOWN(BH5*121/128,0),IF(補助シート!$CC17="魔力",ROUNDDOWN(BG5*3*補助シート!BY40,0),MAX(0,ROUNDDOWN(IF(補助シート!BY$9="あり",0.5,1)*ROUNDDOWN(IF(補助シート!$AU17="なし",1,補助シート!BY40)*(ROUNDDOWN(IF(AND(補助シート!BY$9="大防御",NOT(補助シート!$AV40="高")),0.1,1)*ROUNDDOWN(IF(AND(補助シート!BY$7="あり",OR(補助シート!$AU17="炎",補助シート!$AU17="雪")),0.5,1)*(ROUNDDOWN(IF(AND(OR(補助シート!$AV17="物理",補助シート!$AV17="魔"),$L21="あり",NOT(補助シート!$CC17="倍無")),補助シート!$F$49,1)*(IF(AND(OR(補助シート!$AV17="物理",補助シート!$AV17="魔"),$J21="あり",NOT(補助シート!$CC17="倍無"),OR(NOT(補助シート!$CC17="隊列"),AND(補助シート!BY$6=1,補助シート!$CC17="隊列"))),2,1)*ROUNDDOWN(HLOOKUP(補助シート!BY$6,味方隊列,MATCH($F21,味方技リスト,0)+1)*(IF(補助シート!$AV17="物理",補助シート!BY17,IF(補助シート!$AV17="魔",補助シート!BY51,VLOOKUP($F21,味方技,2,0)))),0)),0)),0),0)),0),0)))))</f>
        <v>744</v>
      </c>
      <c r="AQ21" s="210"/>
      <c r="AR21" s="209">
        <f ca="1">IF(OR($B21="",AP$19="",$F21=""),"",IF(補助シート!$CC17="会心",ROUNDDOWN(BH5*134/128,0),IF(補助シート!$CC17="魔力",ROUNDDOWN(BG5*3*補助シート!BY40,0),MAX(IF(補助シート!$AU17="なし",1,0),ROUNDDOWN(IF(補助シート!CA$9="あり",0.5,1)*ROUNDDOWN(IF(補助シート!$AU17="なし",1,補助シート!CA40)*(ROUNDDOWN(IF(AND(補助シート!CA$9="大防御",NOT(補助シート!$AV40="高")),0.1,1)*ROUNDDOWN(IF(AND(補助シート!CA$7="あり",OR(補助シート!$AU17="炎",補助シート!$AU17="雪")),0.5,1)*(ROUNDDOWN(IF(AND(OR(補助シート!$AV17="物理",補助シート!$AV17="魔"),$L21="あり",NOT(補助シート!$CC17="倍無")),補助シート!$F$50,1)*(IF(AND(OR(補助シート!$AV17="物理",補助シート!$AV17="魔"),$J21="あり",NOT(補助シート!$CC17="倍無"),OR(NOT(補助シート!$CC17="隊列"),AND(補助シート!CA$6=1,補助シート!$CC17="隊列"))),2,1)*ROUNDDOWN(HLOOKUP(補助シート!CA$6,味方隊列,MATCH($F21,味方技リスト,0)+1)*(IF(補助シート!$AV17="物理",補助シート!CA17,IF(補助シート!$AV17="魔",補助シート!CA51,VLOOKUP($F21,味方技,3,0)))),0)),0)),0),0)),0),0)))))</f>
        <v>1070</v>
      </c>
      <c r="AS21" s="210"/>
      <c r="AT21" s="64"/>
      <c r="AU21" s="72"/>
    </row>
    <row r="22" spans="1:47" ht="13.5" customHeight="1" x14ac:dyDescent="0.15">
      <c r="A22" s="70"/>
      <c r="B22" s="214" t="str">
        <f t="shared" ca="1" si="0"/>
        <v>ミレーユ</v>
      </c>
      <c r="C22" s="215"/>
      <c r="D22" s="215"/>
      <c r="E22" s="216"/>
      <c r="F22" s="186"/>
      <c r="G22" s="187"/>
      <c r="H22" s="187"/>
      <c r="I22" s="188"/>
      <c r="J22" s="189" t="s">
        <v>466</v>
      </c>
      <c r="K22" s="190"/>
      <c r="L22" s="189" t="s">
        <v>466</v>
      </c>
      <c r="M22" s="190"/>
      <c r="N22" s="209" t="str">
        <f ca="1">IF(OR($B22="",N$19="",$F22=""),"",IF(補助シート!$CC18="会心",ROUNDDOWN(AF6*121/128,0),IF(補助シート!$CC18="魔力",ROUNDDOWN(AE6*3*補助シート!AW41,0),MAX(0,ROUNDDOWN(IF(補助シート!AW$9="あり",0.5,1)*ROUNDDOWN(IF(補助シート!$AU18="なし",1,補助シート!AW41)*(ROUNDDOWN(IF(AND(補助シート!AW$9="大防御",NOT(補助シート!$AV41="高")),0.1,1)*ROUNDDOWN(IF(AND(補助シート!AW$7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AW$6=1,補助シート!$CC18="隊列"))),2,1)*ROUNDDOWN(HLOOKUP(補助シート!AW$6,味方隊列,MATCH($F22,味方技リスト,0)+1)*(IF(補助シート!$AV18="物理",補助シート!AW18,IF(補助シート!$AV18="魔",補助シート!AW52,VLOOKUP($F22,味方技,2,0)))),0)),0)),0),0)),0),0)))))</f>
        <v/>
      </c>
      <c r="O22" s="210"/>
      <c r="P22" s="209" t="str">
        <f ca="1">IF(OR($B22="",N$19="",$F22=""),"",IF(補助シート!$CC18="会心",ROUNDDOWN(AF6*134/128,0),IF(補助シート!$CC18="魔力",ROUNDDOWN(AE6*3*補助シート!AW41,0),MAX(IF(補助シート!$AU18="なし",1,0),ROUNDDOWN(IF(補助シート!AY$9="あり",0.5,1)*ROUNDDOWN(IF(補助シート!$AU18="なし",1,補助シート!AY41)*(ROUNDDOWN(IF(AND(補助シート!AY$9="大防御",NOT(補助シート!$AV41="高")),0.1,1)*ROUNDDOWN(IF(AND(補助シート!AY$7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AY$6=1,補助シート!$CC18="隊列"))),2,1)*ROUNDDOWN(HLOOKUP(補助シート!AY$6,味方隊列,MATCH($F22,味方技リスト,0)+1)*(IF(補助シート!$AV18="物理",補助シート!AY18,IF(補助シート!$AV18="魔",補助シート!AY52,VLOOKUP($F22,味方技,3,0)))),0)),0)),0),0)),0),0)))))</f>
        <v/>
      </c>
      <c r="Q22" s="210"/>
      <c r="R22" s="209" t="str">
        <f ca="1">IF(OR($B22="",R$19="",$F22=""),"",IF(補助シート!$CC18="会心",ROUNDDOWN(AJ6*121/128,0),IF(補助シート!$CC18="魔力",ROUNDDOWN(AI6*3*補助シート!BA41,0),MAX(0,ROUNDDOWN(IF(補助シート!BA$9="あり",0.5,1)*ROUNDDOWN(IF(補助シート!$AU18="なし",1,補助シート!BA41)*(ROUNDDOWN(IF(AND(補助シート!BA$9="大防御",NOT(補助シート!$AV41="高")),0.1,1)*ROUNDDOWN(IF(AND(補助シート!BA$7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A$6=1,補助シート!$CC18="隊列"))),2,1)*ROUNDDOWN(HLOOKUP(補助シート!BA$6,味方隊列,MATCH($F22,味方技リスト,0)+1)*(IF(補助シート!$AV18="物理",補助シート!BA18,IF(補助シート!$AV18="魔",補助シート!BA52,VLOOKUP($F22,味方技,2,0)))),0)),0)),0),0)),0),0)))))</f>
        <v/>
      </c>
      <c r="S22" s="210"/>
      <c r="T22" s="209" t="str">
        <f ca="1">IF(OR($B22="",R$19="",$F22=""),"",IF(補助シート!$CC18="会心",ROUNDDOWN(AJ6*134/128,0),IF(補助シート!$CC18="魔力",ROUNDDOWN(AI6*3*補助シート!BA41,0),MAX(IF(補助シート!$AU18="なし",1,0),ROUNDDOWN(IF(補助シート!BC$9="あり",0.5,1)*ROUNDDOWN(IF(補助シート!$AU18="なし",1,補助シート!BC41)*(ROUNDDOWN(IF(AND(補助シート!BC$9="大防御",NOT(補助シート!$AV41="高")),0.1,1)*ROUNDDOWN(IF(AND(補助シート!BC$7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C$6=1,補助シート!$CC18="隊列"))),2,1)*ROUNDDOWN(HLOOKUP(補助シート!BC$6,味方隊列,MATCH($F22,味方技リスト,0)+1)*(IF(補助シート!$AV18="物理",補助シート!BC18,IF(補助シート!$AV18="魔",補助シート!BC52,VLOOKUP($F22,味方技,3,0)))),0)),0)),0),0)),0),0)))))</f>
        <v/>
      </c>
      <c r="U22" s="210"/>
      <c r="V22" s="209" t="str">
        <f ca="1">IF(OR($B22="",V$19="",$F22=""),"",IF(補助シート!$CC18="会心",ROUNDDOWN(AN6*121/128,0),IF(補助シート!$CC18="魔力",ROUNDDOWN(AM6*3*補助シート!BE41,0),MAX(0,ROUNDDOWN(IF(補助シート!BE$9="あり",0.5,1)*ROUNDDOWN(IF(補助シート!$AU18="なし",1,補助シート!BE41)*(ROUNDDOWN(IF(AND(補助シート!BE$9="大防御",NOT(補助シート!$AV41="高")),0.1,1)*ROUNDDOWN(IF(AND(補助シート!BE$7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E$6=1,補助シート!$CC18="隊列"))),2,1)*ROUNDDOWN(HLOOKUP(補助シート!BE$6,味方隊列,MATCH($F22,味方技リスト,0)+1)*(IF(補助シート!$AV18="物理",補助シート!BE18,IF(補助シート!$AV18="魔",補助シート!BE52,VLOOKUP($F22,味方技,2,0)))),0)),0)),0),0)),0),0)))))</f>
        <v/>
      </c>
      <c r="W22" s="210"/>
      <c r="X22" s="209" t="str">
        <f ca="1">IF(OR($B22="",V$19="",$F22=""),"",IF(補助シート!$CC18="会心",ROUNDDOWN(AN6*134/128,0),IF(補助シート!$CC18="魔力",ROUNDDOWN(AM6*3*補助シート!BE41,0),MAX(IF(補助シート!$AU18="なし",1,0),ROUNDDOWN(IF(補助シート!BG$9="あり",0.5,1)*ROUNDDOWN(IF(補助シート!$AU18="なし",1,補助シート!BG41)*(ROUNDDOWN(IF(AND(補助シート!BG$9="大防御",NOT(補助シート!$AV41="高")),0.1,1)*ROUNDDOWN(IF(AND(補助シート!BG$7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G$6=1,補助シート!$CC18="隊列"))),2,1)*ROUNDDOWN(HLOOKUP(補助シート!BG$6,味方隊列,MATCH($F22,味方技リスト,0)+1)*(IF(補助シート!$AV18="物理",補助シート!BG18,IF(補助シート!$AV18="魔",補助シート!BG52,VLOOKUP($F22,味方技,3,0)))),0)),0)),0),0)),0),0)))))</f>
        <v/>
      </c>
      <c r="Y22" s="210"/>
      <c r="Z22" s="209" t="str">
        <f ca="1">IF(OR($B22="",Z$19="",$F22=""),"",IF(補助シート!$CC18="会心",ROUNDDOWN(AR6*121/128,0),IF(補助シート!$CC18="魔力",ROUNDDOWN(AQ6*3*補助シート!BI41,0),MAX(0,ROUNDDOWN(IF(補助シート!BI$9="あり",0.5,1)*ROUNDDOWN(IF(補助シート!$AU18="なし",1,補助シート!BI41)*(ROUNDDOWN(IF(AND(補助シート!BI$9="大防御",NOT(補助シート!$AV41="高")),0.1,1)*ROUNDDOWN(IF(AND(補助シート!BI$7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I$6=1,補助シート!$CC18="隊列"))),2,1)*ROUNDDOWN(HLOOKUP(補助シート!BI$6,味方隊列,MATCH($F22,味方技リスト,0)+1)*(IF(補助シート!$AV18="物理",補助シート!BI18,IF(補助シート!$AV18="魔",補助シート!BI52,VLOOKUP($F22,味方技,2,0)))),0)),0)),0),0)),0),0)))))</f>
        <v/>
      </c>
      <c r="AA22" s="210"/>
      <c r="AB22" s="209" t="str">
        <f ca="1">IF(OR($B22="",Z$19="",$F22=""),"",IF(補助シート!$CC18="会心",ROUNDDOWN(AR6*134/128,0),IF(補助シート!$CC18="魔力",ROUNDDOWN(AQ6*3*補助シート!BI41,0),MAX(IF(補助シート!$AU18="なし",1,0),ROUNDDOWN(IF(補助シート!BK$9="あり",0.5,1)*ROUNDDOWN(IF(補助シート!$AU18="なし",1,補助シート!BK41)*(ROUNDDOWN(IF(AND(補助シート!BK$9="大防御",NOT(補助シート!$AV41="高")),0.1,1)*ROUNDDOWN(IF(AND(補助シート!BK$7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K$6=1,補助シート!$CC18="隊列"))),2,1)*ROUNDDOWN(HLOOKUP(補助シート!BK$6,味方隊列,MATCH($F22,味方技リスト,0)+1)*(IF(補助シート!$AV18="物理",補助シート!BK18,IF(補助シート!$AV18="魔",補助シート!BK52,VLOOKUP($F22,味方技,3,0)))),0)),0)),0),0)),0),0)))))</f>
        <v/>
      </c>
      <c r="AC22" s="210"/>
      <c r="AD22" s="209" t="str">
        <f ca="1">IF(OR($B22="",AD$19="",$F22=""),"",IF(補助シート!$CC18="会心",ROUNDDOWN(AV6*121/128,0),IF(補助シート!$CC18="魔力",ROUNDDOWN(AU6*3*補助シート!BM41,0),MAX(0,ROUNDDOWN(IF(補助シート!BM$9="あり",0.5,1)*ROUNDDOWN(IF(補助シート!$AU18="なし",1,補助シート!BM41)*(ROUNDDOWN(IF(AND(補助シート!BM$9="大防御",NOT(補助シート!$AV41="高")),0.1,1)*ROUNDDOWN(IF(AND(補助シート!BM$7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M$6=1,補助シート!$CC18="隊列"))),2,1)*ROUNDDOWN(HLOOKUP(補助シート!BM$6,味方隊列,MATCH($F22,味方技リスト,0)+1)*(IF(補助シート!$AV18="物理",補助シート!BM18,IF(補助シート!$AV18="魔",補助シート!BM52,VLOOKUP($F22,味方技,2,0)))),0)),0)),0),0)),0),0)))))</f>
        <v/>
      </c>
      <c r="AE22" s="210"/>
      <c r="AF22" s="209" t="str">
        <f ca="1">IF(OR($B22="",AD$19="",$F22=""),"",IF(補助シート!$CC18="会心",ROUNDDOWN(AV6*134/128,0),IF(補助シート!$CC18="魔力",ROUNDDOWN(AU6*3*補助シート!BM41,0),MAX(IF(補助シート!$AU18="なし",1,0),ROUNDDOWN(IF(補助シート!BO$9="あり",0.5,1)*ROUNDDOWN(IF(補助シート!$AU18="なし",1,補助シート!BO41)*(ROUNDDOWN(IF(AND(補助シート!BO$9="大防御",NOT(補助シート!$AV41="高")),0.1,1)*ROUNDDOWN(IF(AND(補助シート!BO$7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O$6=1,補助シート!$CC18="隊列"))),2,1)*ROUNDDOWN(HLOOKUP(補助シート!BO$6,味方隊列,MATCH($F22,味方技リスト,0)+1)*(IF(補助シート!$AV18="物理",補助シート!BO18,IF(補助シート!$AV18="魔",補助シート!BO52,VLOOKUP($F22,味方技,3,0)))),0)),0)),0),0)),0),0)))))</f>
        <v/>
      </c>
      <c r="AG22" s="210"/>
      <c r="AH22" s="209" t="str">
        <f ca="1">IF(OR($B22="",AH$19="",$F22=""),"",IF(補助シート!$CC18="会心",ROUNDDOWN(AZ6*121/128,0),IF(補助シート!$CC18="魔力",ROUNDDOWN(AY6*3*補助シート!BQ41,0),MAX(0,ROUNDDOWN(IF(補助シート!BQ$9="あり",0.5,1)*ROUNDDOWN(IF(補助シート!$AU18="なし",1,補助シート!BQ41)*(ROUNDDOWN(IF(AND(補助シート!BQ$9="大防御",NOT(補助シート!$AV41="高")),0.1,1)*ROUNDDOWN(IF(AND(補助シート!BQ$7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Q$6=1,補助シート!$CC18="隊列"))),2,1)*ROUNDDOWN(HLOOKUP(補助シート!BQ$6,味方隊列,MATCH($F22,味方技リスト,0)+1)*(IF(補助シート!$AV18="物理",補助シート!BQ18,IF(補助シート!$AV18="魔",補助シート!BQ52,VLOOKUP($F22,味方技,2,0)))),0)),0)),0),0)),0),0)))))</f>
        <v/>
      </c>
      <c r="AI22" s="210"/>
      <c r="AJ22" s="209" t="str">
        <f ca="1">IF(OR($B22="",AH$19="",$F22=""),"",IF(補助シート!$CC18="会心",ROUNDDOWN(AZ6*134/128,0),IF(補助シート!$CC18="魔力",ROUNDDOWN(AY6*3*補助シート!BQ41,0),MAX(IF(補助シート!$AU18="なし",1,0),ROUNDDOWN(IF(補助シート!BS$9="あり",0.5,1)*ROUNDDOWN(IF(補助シート!$AU18="なし",1,補助シート!BS41)*(ROUNDDOWN(IF(AND(補助シート!BS$9="大防御",NOT(補助シート!$AV41="高")),0.1,1)*ROUNDDOWN(IF(AND(補助シート!BS$7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S$6=1,補助シート!$CC18="隊列"))),2,1)*ROUNDDOWN(HLOOKUP(補助シート!BS$6,味方隊列,MATCH($F22,味方技リスト,0)+1)*(IF(補助シート!$AV18="物理",補助シート!BS18,IF(補助シート!$AV18="魔",補助シート!BS52,VLOOKUP($F22,味方技,3,0)))),0)),0)),0),0)),0),0)))))</f>
        <v/>
      </c>
      <c r="AK22" s="210"/>
      <c r="AL22" s="209" t="str">
        <f ca="1">IF(OR($B22="",AL$19="",$F22=""),"",IF(補助シート!$CC18="会心",ROUNDDOWN(BD6*121/128,0),IF(補助シート!$CC18="魔力",ROUNDDOWN(BC6*3*補助シート!BU41,0),MAX(0,ROUNDDOWN(IF(補助シート!BU$9="あり",0.5,1)*ROUNDDOWN(IF(補助シート!$AU18="なし",1,補助シート!BU41)*(ROUNDDOWN(IF(AND(補助シート!BU$9="大防御",NOT(補助シート!$AV41="高")),0.1,1)*ROUNDDOWN(IF(AND(補助シート!BU$7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U$6=1,補助シート!$CC18="隊列"))),2,1)*ROUNDDOWN(HLOOKUP(補助シート!BU$6,味方隊列,MATCH($F22,味方技リスト,0)+1)*(IF(補助シート!$AV18="物理",補助シート!BU18,IF(補助シート!$AV18="魔",補助シート!BU52,VLOOKUP($F22,味方技,2,0)))),0)),0)),0),0)),0),0)))))</f>
        <v/>
      </c>
      <c r="AM22" s="210"/>
      <c r="AN22" s="209" t="str">
        <f ca="1">IF(OR($B22="",AL$19="",$F22=""),"",IF(補助シート!$CC18="会心",ROUNDDOWN(BD6*134/128,0),IF(補助シート!$CC18="魔力",ROUNDDOWN(BC6*3*補助シート!BU41,0),MAX(IF(補助シート!$AU18="なし",1,0),ROUNDDOWN(IF(補助シート!BW$9="あり",0.5,1)*ROUNDDOWN(IF(補助シート!$AU18="なし",1,補助シート!BW41)*(ROUNDDOWN(IF(AND(補助シート!BW$9="大防御",NOT(補助シート!$AV41="高")),0.1,1)*ROUNDDOWN(IF(AND(補助シート!BW$7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BW$6=1,補助シート!$CC18="隊列"))),2,1)*ROUNDDOWN(HLOOKUP(補助シート!BW$6,味方隊列,MATCH($F22,味方技リスト,0)+1)*(IF(補助シート!$AV18="物理",補助シート!BW18,IF(補助シート!$AV18="魔",補助シート!BW52,VLOOKUP($F22,味方技,3,0)))),0)),0)),0),0)),0),0)))))</f>
        <v/>
      </c>
      <c r="AO22" s="210"/>
      <c r="AP22" s="209" t="str">
        <f ca="1">IF(OR($B22="",AP$19="",$F22=""),"",IF(補助シート!$CC18="会心",ROUNDDOWN(BH6*121/128,0),IF(補助シート!$CC18="魔力",ROUNDDOWN(BG6*3*補助シート!BY41,0),MAX(0,ROUNDDOWN(IF(補助シート!BY$9="あり",0.5,1)*ROUNDDOWN(IF(補助シート!$AU18="なし",1,補助シート!BY41)*(ROUNDDOWN(IF(AND(補助シート!BY$9="大防御",NOT(補助シート!$AV41="高")),0.1,1)*ROUNDDOWN(IF(AND(補助シート!BY$7="あり",OR(補助シート!$AU18="炎",補助シート!$AU18="雪")),0.5,1)*(ROUNDDOWN(IF(AND(OR(補助シート!$AV18="物理",補助シート!$AV18="魔"),$L22="あり",NOT(補助シート!$CC18="倍無")),補助シート!$F$49,1)*(IF(AND(OR(補助シート!$AV18="物理",補助シート!$AV18="魔"),$J22="あり",NOT(補助シート!$CC18="倍無"),OR(NOT(補助シート!$CC18="隊列"),AND(補助シート!BY$6=1,補助シート!$CC18="隊列"))),2,1)*ROUNDDOWN(HLOOKUP(補助シート!BY$6,味方隊列,MATCH($F22,味方技リスト,0)+1)*(IF(補助シート!$AV18="物理",補助シート!BY18,IF(補助シート!$AV18="魔",補助シート!BY52,VLOOKUP($F22,味方技,2,0)))),0)),0)),0),0)),0),0)))))</f>
        <v/>
      </c>
      <c r="AQ22" s="210"/>
      <c r="AR22" s="209" t="str">
        <f ca="1">IF(OR($B22="",AP$19="",$F22=""),"",IF(補助シート!$CC18="会心",ROUNDDOWN(BH6*134/128,0),IF(補助シート!$CC18="魔力",ROUNDDOWN(BG6*3*補助シート!BY41,0),MAX(IF(補助シート!$AU18="なし",1,0),ROUNDDOWN(IF(補助シート!CA$9="あり",0.5,1)*ROUNDDOWN(IF(補助シート!$AU18="なし",1,補助シート!CA41)*(ROUNDDOWN(IF(AND(補助シート!CA$9="大防御",NOT(補助シート!$AV41="高")),0.1,1)*ROUNDDOWN(IF(AND(補助シート!CA$7="あり",OR(補助シート!$AU18="炎",補助シート!$AU18="雪")),0.5,1)*(ROUNDDOWN(IF(AND(OR(補助シート!$AV18="物理",補助シート!$AV18="魔"),$L22="あり",NOT(補助シート!$CC18="倍無")),補助シート!$F$50,1)*(IF(AND(OR(補助シート!$AV18="物理",補助シート!$AV18="魔"),$J22="あり",NOT(補助シート!$CC18="倍無"),OR(NOT(補助シート!$CC18="隊列"),AND(補助シート!CA$6=1,補助シート!$CC18="隊列"))),2,1)*ROUNDDOWN(HLOOKUP(補助シート!CA$6,味方隊列,MATCH($F22,味方技リスト,0)+1)*(IF(補助シート!$AV18="物理",補助シート!CA18,IF(補助シート!$AV18="魔",補助シート!CA52,VLOOKUP($F22,味方技,3,0)))),0)),0)),0),0)),0),0)))))</f>
        <v/>
      </c>
      <c r="AS22" s="210"/>
      <c r="AT22" s="64"/>
      <c r="AU22" s="72"/>
    </row>
    <row r="23" spans="1:47" x14ac:dyDescent="0.15">
      <c r="A23" s="70"/>
      <c r="B23" s="214" t="str">
        <f t="shared" ca="1" si="0"/>
        <v>バーバラ</v>
      </c>
      <c r="C23" s="215"/>
      <c r="D23" s="215"/>
      <c r="E23" s="216"/>
      <c r="F23" s="183"/>
      <c r="G23" s="184"/>
      <c r="H23" s="184"/>
      <c r="I23" s="185"/>
      <c r="J23" s="189" t="s">
        <v>466</v>
      </c>
      <c r="K23" s="190"/>
      <c r="L23" s="189" t="s">
        <v>466</v>
      </c>
      <c r="M23" s="190"/>
      <c r="N23" s="209" t="str">
        <f ca="1">IF(OR($B23="",N$19="",$F23=""),"",IF(補助シート!$CC19="会心",ROUNDDOWN(AF7*121/128,0),IF(補助シート!$CC19="魔力",ROUNDDOWN(AE7*3*補助シート!AW42,0),MAX(0,ROUNDDOWN(IF(補助シート!AW$9="あり",0.5,1)*ROUNDDOWN(IF(補助シート!$AU19="なし",1,補助シート!AW42)*(ROUNDDOWN(IF(AND(補助シート!AW$9="大防御",NOT(補助シート!$AV42="高")),0.1,1)*ROUNDDOWN(IF(AND(補助シート!AW$7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AW$6=1,補助シート!$CC19="隊列"))),2,1)*ROUNDDOWN(HLOOKUP(補助シート!AW$6,味方隊列,MATCH($F23,味方技リスト,0)+1)*(IF(補助シート!$AV19="物理",補助シート!AW19,IF(補助シート!$AV19="魔",補助シート!AW53,VLOOKUP($F23,味方技,2,0)))),0)),0)),0),0)),0),0)))))</f>
        <v/>
      </c>
      <c r="O23" s="210"/>
      <c r="P23" s="209" t="str">
        <f ca="1">IF(OR($B23="",N$19="",$F23=""),"",IF(補助シート!$CC19="会心",ROUNDDOWN(AF7*134/128,0),IF(補助シート!$CC19="魔力",ROUNDDOWN(AE7*3*補助シート!AW42,0),MAX(IF(補助シート!$AU19="なし",1,0),ROUNDDOWN(IF(補助シート!AY$9="あり",0.5,1)*ROUNDDOWN(IF(補助シート!$AU19="なし",1,補助シート!AY42)*(ROUNDDOWN(IF(AND(補助シート!AY$9="大防御",NOT(補助シート!$AV42="高")),0.1,1)*ROUNDDOWN(IF(AND(補助シート!AY$7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AY$6=1,補助シート!$CC19="隊列"))),2,1)*ROUNDDOWN(HLOOKUP(補助シート!AY$6,味方隊列,MATCH($F23,味方技リスト,0)+1)*(IF(補助シート!$AV19="物理",補助シート!AY19,IF(補助シート!$AV19="魔",補助シート!AY53,VLOOKUP($F23,味方技,3,0)))),0)),0)),0),0)),0),0)))))</f>
        <v/>
      </c>
      <c r="Q23" s="210"/>
      <c r="R23" s="209" t="str">
        <f ca="1">IF(OR($B23="",R$19="",$F23=""),"",IF(補助シート!$CC19="会心",ROUNDDOWN(AJ7*121/128,0),IF(補助シート!$CC19="魔力",ROUNDDOWN(AI7*3*補助シート!BA42,0),MAX(0,ROUNDDOWN(IF(補助シート!BA$9="あり",0.5,1)*ROUNDDOWN(IF(補助シート!$AU19="なし",1,補助シート!BA42)*(ROUNDDOWN(IF(AND(補助シート!BA$9="大防御",NOT(補助シート!$AV42="高")),0.1,1)*ROUNDDOWN(IF(AND(補助シート!BA$7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A$6=1,補助シート!$CC19="隊列"))),2,1)*ROUNDDOWN(HLOOKUP(補助シート!BA$6,味方隊列,MATCH($F23,味方技リスト,0)+1)*(IF(補助シート!$AV19="物理",補助シート!BA19,IF(補助シート!$AV19="魔",補助シート!BA53,VLOOKUP($F23,味方技,2,0)))),0)),0)),0),0)),0),0)))))</f>
        <v/>
      </c>
      <c r="S23" s="210"/>
      <c r="T23" s="209" t="str">
        <f ca="1">IF(OR($B23="",R$19="",$F23=""),"",IF(補助シート!$CC19="会心",ROUNDDOWN(AJ7*134/128,0),IF(補助シート!$CC19="魔力",ROUNDDOWN(AI7*3*補助シート!BA42,0),MAX(IF(補助シート!$AU19="なし",1,0),ROUNDDOWN(IF(補助シート!BC$9="あり",0.5,1)*ROUNDDOWN(IF(補助シート!$AU19="なし",1,補助シート!BC42)*(ROUNDDOWN(IF(AND(補助シート!BC$9="大防御",NOT(補助シート!$AV42="高")),0.1,1)*ROUNDDOWN(IF(AND(補助シート!BC$7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C$6=1,補助シート!$CC19="隊列"))),2,1)*ROUNDDOWN(HLOOKUP(補助シート!BC$6,味方隊列,MATCH($F23,味方技リスト,0)+1)*(IF(補助シート!$AV19="物理",補助シート!BC19,IF(補助シート!$AV19="魔",補助シート!BC53,VLOOKUP($F23,味方技,3,0)))),0)),0)),0),0)),0),0)))))</f>
        <v/>
      </c>
      <c r="U23" s="210"/>
      <c r="V23" s="209" t="str">
        <f ca="1">IF(OR($B23="",V$19="",$F23=""),"",IF(補助シート!$CC19="会心",ROUNDDOWN(AN7*121/128,0),IF(補助シート!$CC19="魔力",ROUNDDOWN(AM7*3*補助シート!BE42,0),MAX(0,ROUNDDOWN(IF(補助シート!BE$9="あり",0.5,1)*ROUNDDOWN(IF(補助シート!$AU19="なし",1,補助シート!BE42)*(ROUNDDOWN(IF(AND(補助シート!BE$9="大防御",NOT(補助シート!$AV42="高")),0.1,1)*ROUNDDOWN(IF(AND(補助シート!BE$7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E$6=1,補助シート!$CC19="隊列"))),2,1)*ROUNDDOWN(HLOOKUP(補助シート!BE$6,味方隊列,MATCH($F23,味方技リスト,0)+1)*(IF(補助シート!$AV19="物理",補助シート!BE19,IF(補助シート!$AV19="魔",補助シート!BE53,VLOOKUP($F23,味方技,2,0)))),0)),0)),0),0)),0),0)))))</f>
        <v/>
      </c>
      <c r="W23" s="210"/>
      <c r="X23" s="209" t="str">
        <f ca="1">IF(OR($B23="",V$19="",$F23=""),"",IF(補助シート!$CC19="会心",ROUNDDOWN(AN7*134/128,0),IF(補助シート!$CC19="魔力",ROUNDDOWN(AM7*3*補助シート!BE42,0),MAX(IF(補助シート!$AU19="なし",1,0),ROUNDDOWN(IF(補助シート!BG$9="あり",0.5,1)*ROUNDDOWN(IF(補助シート!$AU19="なし",1,補助シート!BG42)*(ROUNDDOWN(IF(AND(補助シート!BG$9="大防御",NOT(補助シート!$AV42="高")),0.1,1)*ROUNDDOWN(IF(AND(補助シート!BG$7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G$6=1,補助シート!$CC19="隊列"))),2,1)*ROUNDDOWN(HLOOKUP(補助シート!BG$6,味方隊列,MATCH($F23,味方技リスト,0)+1)*(IF(補助シート!$AV19="物理",補助シート!BG19,IF(補助シート!$AV19="魔",補助シート!BG53,VLOOKUP($F23,味方技,3,0)))),0)),0)),0),0)),0),0)))))</f>
        <v/>
      </c>
      <c r="Y23" s="210"/>
      <c r="Z23" s="209" t="str">
        <f ca="1">IF(OR($B23="",Z$19="",$F23=""),"",IF(補助シート!$CC19="会心",ROUNDDOWN(AR7*121/128,0),IF(補助シート!$CC19="魔力",ROUNDDOWN(AQ7*3*補助シート!BI42,0),MAX(0,ROUNDDOWN(IF(補助シート!BI$9="あり",0.5,1)*ROUNDDOWN(IF(補助シート!$AU19="なし",1,補助シート!BI42)*(ROUNDDOWN(IF(AND(補助シート!BI$9="大防御",NOT(補助シート!$AV42="高")),0.1,1)*ROUNDDOWN(IF(AND(補助シート!BI$7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I$6=1,補助シート!$CC19="隊列"))),2,1)*ROUNDDOWN(HLOOKUP(補助シート!BI$6,味方隊列,MATCH($F23,味方技リスト,0)+1)*(IF(補助シート!$AV19="物理",補助シート!BI19,IF(補助シート!$AV19="魔",補助シート!BI53,VLOOKUP($F23,味方技,2,0)))),0)),0)),0),0)),0),0)))))</f>
        <v/>
      </c>
      <c r="AA23" s="210"/>
      <c r="AB23" s="209" t="str">
        <f ca="1">IF(OR($B23="",Z$19="",$F23=""),"",IF(補助シート!$CC19="会心",ROUNDDOWN(AR7*134/128,0),IF(補助シート!$CC19="魔力",ROUNDDOWN(AQ7*3*補助シート!BI42,0),MAX(IF(補助シート!$AU19="なし",1,0),ROUNDDOWN(IF(補助シート!BK$9="あり",0.5,1)*ROUNDDOWN(IF(補助シート!$AU19="なし",1,補助シート!BK42)*(ROUNDDOWN(IF(AND(補助シート!BK$9="大防御",NOT(補助シート!$AV42="高")),0.1,1)*ROUNDDOWN(IF(AND(補助シート!BK$7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K$6=1,補助シート!$CC19="隊列"))),2,1)*ROUNDDOWN(HLOOKUP(補助シート!BK$6,味方隊列,MATCH($F23,味方技リスト,0)+1)*(IF(補助シート!$AV19="物理",補助シート!BK19,IF(補助シート!$AV19="魔",補助シート!BK53,VLOOKUP($F23,味方技,3,0)))),0)),0)),0),0)),0),0)))))</f>
        <v/>
      </c>
      <c r="AC23" s="210"/>
      <c r="AD23" s="209" t="str">
        <f ca="1">IF(OR($B23="",AD$19="",$F23=""),"",IF(補助シート!$CC19="会心",ROUNDDOWN(AV7*121/128,0),IF(補助シート!$CC19="魔力",ROUNDDOWN(AU7*3*補助シート!BM42,0),MAX(0,ROUNDDOWN(IF(補助シート!BM$9="あり",0.5,1)*ROUNDDOWN(IF(補助シート!$AU19="なし",1,補助シート!BM42)*(ROUNDDOWN(IF(AND(補助シート!BM$9="大防御",NOT(補助シート!$AV42="高")),0.1,1)*ROUNDDOWN(IF(AND(補助シート!BM$7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M$6=1,補助シート!$CC19="隊列"))),2,1)*ROUNDDOWN(HLOOKUP(補助シート!BM$6,味方隊列,MATCH($F23,味方技リスト,0)+1)*(IF(補助シート!$AV19="物理",補助シート!BM19,IF(補助シート!$AV19="魔",補助シート!BM53,VLOOKUP($F23,味方技,2,0)))),0)),0)),0),0)),0),0)))))</f>
        <v/>
      </c>
      <c r="AE23" s="210"/>
      <c r="AF23" s="209" t="str">
        <f ca="1">IF(OR($B23="",AD$19="",$F23=""),"",IF(補助シート!$CC19="会心",ROUNDDOWN(AV7*134/128,0),IF(補助シート!$CC19="魔力",ROUNDDOWN(AU7*3*補助シート!BM42,0),MAX(IF(補助シート!$AU19="なし",1,0),ROUNDDOWN(IF(補助シート!BO$9="あり",0.5,1)*ROUNDDOWN(IF(補助シート!$AU19="なし",1,補助シート!BO42)*(ROUNDDOWN(IF(AND(補助シート!BO$9="大防御",NOT(補助シート!$AV42="高")),0.1,1)*ROUNDDOWN(IF(AND(補助シート!BO$7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O$6=1,補助シート!$CC19="隊列"))),2,1)*ROUNDDOWN(HLOOKUP(補助シート!BO$6,味方隊列,MATCH($F23,味方技リスト,0)+1)*(IF(補助シート!$AV19="物理",補助シート!BO19,IF(補助シート!$AV19="魔",補助シート!BO53,VLOOKUP($F23,味方技,3,0)))),0)),0)),0),0)),0),0)))))</f>
        <v/>
      </c>
      <c r="AG23" s="210"/>
      <c r="AH23" s="209" t="str">
        <f ca="1">IF(OR($B23="",AH$19="",$F23=""),"",IF(補助シート!$CC19="会心",ROUNDDOWN(AZ7*121/128,0),IF(補助シート!$CC19="魔力",ROUNDDOWN(AY7*3*補助シート!BQ42,0),MAX(0,ROUNDDOWN(IF(補助シート!BQ$9="あり",0.5,1)*ROUNDDOWN(IF(補助シート!$AU19="なし",1,補助シート!BQ42)*(ROUNDDOWN(IF(AND(補助シート!BQ$9="大防御",NOT(補助シート!$AV42="高")),0.1,1)*ROUNDDOWN(IF(AND(補助シート!BQ$7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Q$6=1,補助シート!$CC19="隊列"))),2,1)*ROUNDDOWN(HLOOKUP(補助シート!BQ$6,味方隊列,MATCH($F23,味方技リスト,0)+1)*(IF(補助シート!$AV19="物理",補助シート!BQ19,IF(補助シート!$AV19="魔",補助シート!BQ53,VLOOKUP($F23,味方技,2,0)))),0)),0)),0),0)),0),0)))))</f>
        <v/>
      </c>
      <c r="AI23" s="210"/>
      <c r="AJ23" s="209" t="str">
        <f ca="1">IF(OR($B23="",AH$19="",$F23=""),"",IF(補助シート!$CC19="会心",ROUNDDOWN(AZ7*134/128,0),IF(補助シート!$CC19="魔力",ROUNDDOWN(AY7*3*補助シート!BQ42,0),MAX(IF(補助シート!$AU19="なし",1,0),ROUNDDOWN(IF(補助シート!BS$9="あり",0.5,1)*ROUNDDOWN(IF(補助シート!$AU19="なし",1,補助シート!BS42)*(ROUNDDOWN(IF(AND(補助シート!BS$9="大防御",NOT(補助シート!$AV42="高")),0.1,1)*ROUNDDOWN(IF(AND(補助シート!BS$7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S$6=1,補助シート!$CC19="隊列"))),2,1)*ROUNDDOWN(HLOOKUP(補助シート!BS$6,味方隊列,MATCH($F23,味方技リスト,0)+1)*(IF(補助シート!$AV19="物理",補助シート!BS19,IF(補助シート!$AV19="魔",補助シート!BS53,VLOOKUP($F23,味方技,3,0)))),0)),0)),0),0)),0),0)))))</f>
        <v/>
      </c>
      <c r="AK23" s="210"/>
      <c r="AL23" s="209" t="str">
        <f ca="1">IF(OR($B23="",AL$19="",$F23=""),"",IF(補助シート!$CC19="会心",ROUNDDOWN(BD7*121/128,0),IF(補助シート!$CC19="魔力",ROUNDDOWN(BC7*3*補助シート!BU42,0),MAX(0,ROUNDDOWN(IF(補助シート!BU$9="あり",0.5,1)*ROUNDDOWN(IF(補助シート!$AU19="なし",1,補助シート!BU42)*(ROUNDDOWN(IF(AND(補助シート!BU$9="大防御",NOT(補助シート!$AV42="高")),0.1,1)*ROUNDDOWN(IF(AND(補助シート!BU$7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U$6=1,補助シート!$CC19="隊列"))),2,1)*ROUNDDOWN(HLOOKUP(補助シート!BU$6,味方隊列,MATCH($F23,味方技リスト,0)+1)*(IF(補助シート!$AV19="物理",補助シート!BU19,IF(補助シート!$AV19="魔",補助シート!BU53,VLOOKUP($F23,味方技,2,0)))),0)),0)),0),0)),0),0)))))</f>
        <v/>
      </c>
      <c r="AM23" s="210"/>
      <c r="AN23" s="209" t="str">
        <f ca="1">IF(OR($B23="",AL$19="",$F23=""),"",IF(補助シート!$CC19="会心",ROUNDDOWN(BD7*134/128,0),IF(補助シート!$CC19="魔力",ROUNDDOWN(BC7*3*補助シート!BU42,0),MAX(IF(補助シート!$AU19="なし",1,0),ROUNDDOWN(IF(補助シート!BW$9="あり",0.5,1)*ROUNDDOWN(IF(補助シート!$AU19="なし",1,補助シート!BW42)*(ROUNDDOWN(IF(AND(補助シート!BW$9="大防御",NOT(補助シート!$AV42="高")),0.1,1)*ROUNDDOWN(IF(AND(補助シート!BW$7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BW$6=1,補助シート!$CC19="隊列"))),2,1)*ROUNDDOWN(HLOOKUP(補助シート!BW$6,味方隊列,MATCH($F23,味方技リスト,0)+1)*(IF(補助シート!$AV19="物理",補助シート!BW19,IF(補助シート!$AV19="魔",補助シート!BW53,VLOOKUP($F23,味方技,3,0)))),0)),0)),0),0)),0),0)))))</f>
        <v/>
      </c>
      <c r="AO23" s="210"/>
      <c r="AP23" s="209" t="str">
        <f ca="1">IF(OR($B23="",AP$19="",$F23=""),"",IF(補助シート!$CC19="会心",ROUNDDOWN(BH7*121/128,0),IF(補助シート!$CC19="魔力",ROUNDDOWN(BG7*3*補助シート!BY42,0),MAX(0,ROUNDDOWN(IF(補助シート!BY$9="あり",0.5,1)*ROUNDDOWN(IF(補助シート!$AU19="なし",1,補助シート!BY42)*(ROUNDDOWN(IF(AND(補助シート!BY$9="大防御",NOT(補助シート!$AV42="高")),0.1,1)*ROUNDDOWN(IF(AND(補助シート!BY$7="あり",OR(補助シート!$AU19="炎",補助シート!$AU19="雪")),0.5,1)*(ROUNDDOWN(IF(AND(OR(補助シート!$AV19="物理",補助シート!$AV19="魔"),$L23="あり",NOT(補助シート!$CC19="倍無")),補助シート!$F$49,1)*(IF(AND(OR(補助シート!$AV19="物理",補助シート!$AV19="魔"),$J23="あり",NOT(補助シート!$CC19="倍無"),OR(NOT(補助シート!$CC19="隊列"),AND(補助シート!BY$6=1,補助シート!$CC19="隊列"))),2,1)*ROUNDDOWN(HLOOKUP(補助シート!BY$6,味方隊列,MATCH($F23,味方技リスト,0)+1)*(IF(補助シート!$AV19="物理",補助シート!BY19,IF(補助シート!$AV19="魔",補助シート!BY53,VLOOKUP($F23,味方技,2,0)))),0)),0)),0),0)),0),0)))))</f>
        <v/>
      </c>
      <c r="AQ23" s="210"/>
      <c r="AR23" s="209" t="str">
        <f ca="1">IF(OR($B23="",AP$19="",$F23=""),"",IF(補助シート!$CC19="会心",ROUNDDOWN(BH7*134/128,0),IF(補助シート!$CC19="魔力",ROUNDDOWN(BG7*3*補助シート!BY42,0),MAX(IF(補助シート!$AU19="なし",1,0),ROUNDDOWN(IF(補助シート!CA$9="あり",0.5,1)*ROUNDDOWN(IF(補助シート!$AU19="なし",1,補助シート!CA42)*(ROUNDDOWN(IF(AND(補助シート!CA$9="大防御",NOT(補助シート!$AV42="高")),0.1,1)*ROUNDDOWN(IF(AND(補助シート!CA$7="あり",OR(補助シート!$AU19="炎",補助シート!$AU19="雪")),0.5,1)*(ROUNDDOWN(IF(AND(OR(補助シート!$AV19="物理",補助シート!$AV19="魔"),$L23="あり",NOT(補助シート!$CC19="倍無")),補助シート!$F$50,1)*(IF(AND(OR(補助シート!$AV19="物理",補助シート!$AV19="魔"),$J23="あり",NOT(補助シート!$CC19="倍無"),OR(NOT(補助シート!$CC19="隊列"),AND(補助シート!CA$6=1,補助シート!$CC19="隊列"))),2,1)*ROUNDDOWN(HLOOKUP(補助シート!CA$6,味方隊列,MATCH($F23,味方技リスト,0)+1)*(IF(補助シート!$AV19="物理",補助シート!CA19,IF(補助シート!$AV19="魔",補助シート!CA53,VLOOKUP($F23,味方技,3,0)))),0)),0)),0),0)),0),0)))))</f>
        <v/>
      </c>
      <c r="AS23" s="210"/>
      <c r="AT23" s="64"/>
      <c r="AU23" s="72"/>
    </row>
    <row r="24" spans="1:47" x14ac:dyDescent="0.15">
      <c r="A24" s="70"/>
      <c r="B24" s="214" t="str">
        <f t="shared" ca="1" si="0"/>
        <v>チャモロ</v>
      </c>
      <c r="C24" s="215"/>
      <c r="D24" s="215"/>
      <c r="E24" s="216"/>
      <c r="F24" s="183"/>
      <c r="G24" s="184"/>
      <c r="H24" s="184"/>
      <c r="I24" s="185"/>
      <c r="J24" s="189" t="s">
        <v>466</v>
      </c>
      <c r="K24" s="190"/>
      <c r="L24" s="189" t="s">
        <v>466</v>
      </c>
      <c r="M24" s="190"/>
      <c r="N24" s="209" t="str">
        <f ca="1">IF(OR($B24="",N$19="",$F24=""),"",IF(補助シート!$CC20="会心",ROUNDDOWN(AF8*121/128,0),IF(補助シート!$CC20="魔力",ROUNDDOWN(AE8*3*補助シート!AW43,0),MAX(0,ROUNDDOWN(IF(補助シート!AW$9="あり",0.5,1)*ROUNDDOWN(IF(補助シート!$AU20="なし",1,補助シート!AW43)*(ROUNDDOWN(IF(AND(補助シート!AW$9="大防御",NOT(補助シート!$AV43="高")),0.1,1)*ROUNDDOWN(IF(AND(補助シート!AW$7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AW$6=1,補助シート!$CC20="隊列"))),2,1)*ROUNDDOWN(HLOOKUP(補助シート!AW$6,味方隊列,MATCH($F24,味方技リスト,0)+1)*(IF(補助シート!$AV20="物理",補助シート!AW20,IF(補助シート!$AV20="魔",補助シート!AW54,VLOOKUP($F24,味方技,2,0)))),0)),0)),0),0)),0),0)))))</f>
        <v/>
      </c>
      <c r="O24" s="210"/>
      <c r="P24" s="209" t="str">
        <f ca="1">IF(OR($B24="",N$19="",$F24=""),"",IF(補助シート!$CC20="会心",ROUNDDOWN(AF8*134/128,0),IF(補助シート!$CC20="魔力",ROUNDDOWN(AE8*3*補助シート!AW43,0),MAX(IF(補助シート!$AU20="なし",1,0),ROUNDDOWN(IF(補助シート!AY$9="あり",0.5,1)*ROUNDDOWN(IF(補助シート!$AU20="なし",1,補助シート!AY43)*(ROUNDDOWN(IF(AND(補助シート!AY$9="大防御",NOT(補助シート!$AV43="高")),0.1,1)*ROUNDDOWN(IF(AND(補助シート!AY$7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AY$6=1,補助シート!$CC20="隊列"))),2,1)*ROUNDDOWN(HLOOKUP(補助シート!AY$6,味方隊列,MATCH($F24,味方技リスト,0)+1)*(IF(補助シート!$AV20="物理",補助シート!AY20,IF(補助シート!$AV20="魔",補助シート!AY54,VLOOKUP($F24,味方技,3,0)))),0)),0)),0),0)),0),0)))))</f>
        <v/>
      </c>
      <c r="Q24" s="210"/>
      <c r="R24" s="209" t="str">
        <f ca="1">IF(OR($B24="",R$19="",$F24=""),"",IF(補助シート!$CC20="会心",ROUNDDOWN(AJ8*121/128,0),IF(補助シート!$CC20="魔力",ROUNDDOWN(AI8*3*補助シート!BA43,0),MAX(0,ROUNDDOWN(IF(補助シート!BA$9="あり",0.5,1)*ROUNDDOWN(IF(補助シート!$AU20="なし",1,補助シート!BA43)*(ROUNDDOWN(IF(AND(補助シート!BA$9="大防御",NOT(補助シート!$AV43="高")),0.1,1)*ROUNDDOWN(IF(AND(補助シート!BA$7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A$6=1,補助シート!$CC20="隊列"))),2,1)*ROUNDDOWN(HLOOKUP(補助シート!BA$6,味方隊列,MATCH($F24,味方技リスト,0)+1)*(IF(補助シート!$AV20="物理",補助シート!BA20,IF(補助シート!$AV20="魔",補助シート!BA54,VLOOKUP($F24,味方技,2,0)))),0)),0)),0),0)),0),0)))))</f>
        <v/>
      </c>
      <c r="S24" s="210"/>
      <c r="T24" s="209" t="str">
        <f ca="1">IF(OR($B24="",R$19="",$F24=""),"",IF(補助シート!$CC20="会心",ROUNDDOWN(AJ8*134/128,0),IF(補助シート!$CC20="魔力",ROUNDDOWN(AI8*3*補助シート!BA43,0),MAX(IF(補助シート!$AU20="なし",1,0),ROUNDDOWN(IF(補助シート!BC$9="あり",0.5,1)*ROUNDDOWN(IF(補助シート!$AU20="なし",1,補助シート!BC43)*(ROUNDDOWN(IF(AND(補助シート!BC$9="大防御",NOT(補助シート!$AV43="高")),0.1,1)*ROUNDDOWN(IF(AND(補助シート!BC$7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C$6=1,補助シート!$CC20="隊列"))),2,1)*ROUNDDOWN(HLOOKUP(補助シート!BC$6,味方隊列,MATCH($F24,味方技リスト,0)+1)*(IF(補助シート!$AV20="物理",補助シート!BC20,IF(補助シート!$AV20="魔",補助シート!BC54,VLOOKUP($F24,味方技,3,0)))),0)),0)),0),0)),0),0)))))</f>
        <v/>
      </c>
      <c r="U24" s="210"/>
      <c r="V24" s="209" t="str">
        <f ca="1">IF(OR($B24="",V$19="",$F24=""),"",IF(補助シート!$CC20="会心",ROUNDDOWN(AN8*121/128,0),IF(補助シート!$CC20="魔力",ROUNDDOWN(AM8*3*補助シート!BE43,0),MAX(0,ROUNDDOWN(IF(補助シート!BE$9="あり",0.5,1)*ROUNDDOWN(IF(補助シート!$AU20="なし",1,補助シート!BE43)*(ROUNDDOWN(IF(AND(補助シート!BE$9="大防御",NOT(補助シート!$AV43="高")),0.1,1)*ROUNDDOWN(IF(AND(補助シート!BE$7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E$6=1,補助シート!$CC20="隊列"))),2,1)*ROUNDDOWN(HLOOKUP(補助シート!BE$6,味方隊列,MATCH($F24,味方技リスト,0)+1)*(IF(補助シート!$AV20="物理",補助シート!BE20,IF(補助シート!$AV20="魔",補助シート!BE54,VLOOKUP($F24,味方技,2,0)))),0)),0)),0),0)),0),0)))))</f>
        <v/>
      </c>
      <c r="W24" s="210"/>
      <c r="X24" s="209" t="str">
        <f ca="1">IF(OR($B24="",V$19="",$F24=""),"",IF(補助シート!$CC20="会心",ROUNDDOWN(AN8*134/128,0),IF(補助シート!$CC20="魔力",ROUNDDOWN(AM8*3*補助シート!BE43,0),MAX(IF(補助シート!$AU20="なし",1,0),ROUNDDOWN(IF(補助シート!BG$9="あり",0.5,1)*ROUNDDOWN(IF(補助シート!$AU20="なし",1,補助シート!BG43)*(ROUNDDOWN(IF(AND(補助シート!BG$9="大防御",NOT(補助シート!$AV43="高")),0.1,1)*ROUNDDOWN(IF(AND(補助シート!BG$7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G$6=1,補助シート!$CC20="隊列"))),2,1)*ROUNDDOWN(HLOOKUP(補助シート!BG$6,味方隊列,MATCH($F24,味方技リスト,0)+1)*(IF(補助シート!$AV20="物理",補助シート!BG20,IF(補助シート!$AV20="魔",補助シート!BG54,VLOOKUP($F24,味方技,3,0)))),0)),0)),0),0)),0),0)))))</f>
        <v/>
      </c>
      <c r="Y24" s="210"/>
      <c r="Z24" s="209" t="str">
        <f ca="1">IF(OR($B24="",Z$19="",$F24=""),"",IF(補助シート!$CC20="会心",ROUNDDOWN(AR8*121/128,0),IF(補助シート!$CC20="魔力",ROUNDDOWN(AQ8*3*補助シート!BI43,0),MAX(0,ROUNDDOWN(IF(補助シート!BI$9="あり",0.5,1)*ROUNDDOWN(IF(補助シート!$AU20="なし",1,補助シート!BI43)*(ROUNDDOWN(IF(AND(補助シート!BI$9="大防御",NOT(補助シート!$AV43="高")),0.1,1)*ROUNDDOWN(IF(AND(補助シート!BI$7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I$6=1,補助シート!$CC20="隊列"))),2,1)*ROUNDDOWN(HLOOKUP(補助シート!BI$6,味方隊列,MATCH($F24,味方技リスト,0)+1)*(IF(補助シート!$AV20="物理",補助シート!BI20,IF(補助シート!$AV20="魔",補助シート!BI54,VLOOKUP($F24,味方技,2,0)))),0)),0)),0),0)),0),0)))))</f>
        <v/>
      </c>
      <c r="AA24" s="210"/>
      <c r="AB24" s="209" t="str">
        <f ca="1">IF(OR($B24="",Z$19="",$F24=""),"",IF(補助シート!$CC20="会心",ROUNDDOWN(AR8*134/128,0),IF(補助シート!$CC20="魔力",ROUNDDOWN(AQ8*3*補助シート!BI43,0),MAX(IF(補助シート!$AU20="なし",1,0),ROUNDDOWN(IF(補助シート!BK$9="あり",0.5,1)*ROUNDDOWN(IF(補助シート!$AU20="なし",1,補助シート!BK43)*(ROUNDDOWN(IF(AND(補助シート!BK$9="大防御",NOT(補助シート!$AV43="高")),0.1,1)*ROUNDDOWN(IF(AND(補助シート!BK$7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K$6=1,補助シート!$CC20="隊列"))),2,1)*ROUNDDOWN(HLOOKUP(補助シート!BK$6,味方隊列,MATCH($F24,味方技リスト,0)+1)*(IF(補助シート!$AV20="物理",補助シート!BK20,IF(補助シート!$AV20="魔",補助シート!BK54,VLOOKUP($F24,味方技,3,0)))),0)),0)),0),0)),0),0)))))</f>
        <v/>
      </c>
      <c r="AC24" s="210"/>
      <c r="AD24" s="209" t="str">
        <f ca="1">IF(OR($B24="",AD$19="",$F24=""),"",IF(補助シート!$CC20="会心",ROUNDDOWN(AV8*121/128,0),IF(補助シート!$CC20="魔力",ROUNDDOWN(AU8*3*補助シート!BM43,0),MAX(0,ROUNDDOWN(IF(補助シート!BM$9="あり",0.5,1)*ROUNDDOWN(IF(補助シート!$AU20="なし",1,補助シート!BM43)*(ROUNDDOWN(IF(AND(補助シート!BM$9="大防御",NOT(補助シート!$AV43="高")),0.1,1)*ROUNDDOWN(IF(AND(補助シート!BM$7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M$6=1,補助シート!$CC20="隊列"))),2,1)*ROUNDDOWN(HLOOKUP(補助シート!BM$6,味方隊列,MATCH($F24,味方技リスト,0)+1)*(IF(補助シート!$AV20="物理",補助シート!BM20,IF(補助シート!$AV20="魔",補助シート!BM54,VLOOKUP($F24,味方技,2,0)))),0)),0)),0),0)),0),0)))))</f>
        <v/>
      </c>
      <c r="AE24" s="210"/>
      <c r="AF24" s="209" t="str">
        <f ca="1">IF(OR($B24="",AD$19="",$F24=""),"",IF(補助シート!$CC20="会心",ROUNDDOWN(AV8*134/128,0),IF(補助シート!$CC20="魔力",ROUNDDOWN(AU8*3*補助シート!BM43,0),MAX(IF(補助シート!$AU20="なし",1,0),ROUNDDOWN(IF(補助シート!BO$9="あり",0.5,1)*ROUNDDOWN(IF(補助シート!$AU20="なし",1,補助シート!BO43)*(ROUNDDOWN(IF(AND(補助シート!BO$9="大防御",NOT(補助シート!$AV43="高")),0.1,1)*ROUNDDOWN(IF(AND(補助シート!BO$7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O$6=1,補助シート!$CC20="隊列"))),2,1)*ROUNDDOWN(HLOOKUP(補助シート!BO$6,味方隊列,MATCH($F24,味方技リスト,0)+1)*(IF(補助シート!$AV20="物理",補助シート!BO20,IF(補助シート!$AV20="魔",補助シート!BO54,VLOOKUP($F24,味方技,3,0)))),0)),0)),0),0)),0),0)))))</f>
        <v/>
      </c>
      <c r="AG24" s="210"/>
      <c r="AH24" s="209" t="str">
        <f ca="1">IF(OR($B24="",AH$19="",$F24=""),"",IF(補助シート!$CC20="会心",ROUNDDOWN(AZ8*121/128,0),IF(補助シート!$CC20="魔力",ROUNDDOWN(AY8*3*補助シート!BQ43,0),MAX(0,ROUNDDOWN(IF(補助シート!BQ$9="あり",0.5,1)*ROUNDDOWN(IF(補助シート!$AU20="なし",1,補助シート!BQ43)*(ROUNDDOWN(IF(AND(補助シート!BQ$9="大防御",NOT(補助シート!$AV43="高")),0.1,1)*ROUNDDOWN(IF(AND(補助シート!BQ$7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Q$6=1,補助シート!$CC20="隊列"))),2,1)*ROUNDDOWN(HLOOKUP(補助シート!BQ$6,味方隊列,MATCH($F24,味方技リスト,0)+1)*(IF(補助シート!$AV20="物理",補助シート!BQ20,IF(補助シート!$AV20="魔",補助シート!BQ54,VLOOKUP($F24,味方技,2,0)))),0)),0)),0),0)),0),0)))))</f>
        <v/>
      </c>
      <c r="AI24" s="210"/>
      <c r="AJ24" s="209" t="str">
        <f ca="1">IF(OR($B24="",AH$19="",$F24=""),"",IF(補助シート!$CC20="会心",ROUNDDOWN(AZ8*134/128,0),IF(補助シート!$CC20="魔力",ROUNDDOWN(AY8*3*補助シート!BQ43,0),MAX(IF(補助シート!$AU20="なし",1,0),ROUNDDOWN(IF(補助シート!BS$9="あり",0.5,1)*ROUNDDOWN(IF(補助シート!$AU20="なし",1,補助シート!BS43)*(ROUNDDOWN(IF(AND(補助シート!BS$9="大防御",NOT(補助シート!$AV43="高")),0.1,1)*ROUNDDOWN(IF(AND(補助シート!BS$7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S$6=1,補助シート!$CC20="隊列"))),2,1)*ROUNDDOWN(HLOOKUP(補助シート!BS$6,味方隊列,MATCH($F24,味方技リスト,0)+1)*(IF(補助シート!$AV20="物理",補助シート!BS20,IF(補助シート!$AV20="魔",補助シート!BS54,VLOOKUP($F24,味方技,3,0)))),0)),0)),0),0)),0),0)))))</f>
        <v/>
      </c>
      <c r="AK24" s="210"/>
      <c r="AL24" s="209" t="str">
        <f ca="1">IF(OR($B24="",AL$19="",$F24=""),"",IF(補助シート!$CC20="会心",ROUNDDOWN(BD8*121/128,0),IF(補助シート!$CC20="魔力",ROUNDDOWN(BC8*3*補助シート!BU43,0),MAX(0,ROUNDDOWN(IF(補助シート!BU$9="あり",0.5,1)*ROUNDDOWN(IF(補助シート!$AU20="なし",1,補助シート!BU43)*(ROUNDDOWN(IF(AND(補助シート!BU$9="大防御",NOT(補助シート!$AV43="高")),0.1,1)*ROUNDDOWN(IF(AND(補助シート!BU$7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U$6=1,補助シート!$CC20="隊列"))),2,1)*ROUNDDOWN(HLOOKUP(補助シート!BU$6,味方隊列,MATCH($F24,味方技リスト,0)+1)*(IF(補助シート!$AV20="物理",補助シート!BU20,IF(補助シート!$AV20="魔",補助シート!BU54,VLOOKUP($F24,味方技,2,0)))),0)),0)),0),0)),0),0)))))</f>
        <v/>
      </c>
      <c r="AM24" s="210"/>
      <c r="AN24" s="209" t="str">
        <f ca="1">IF(OR($B24="",AL$19="",$F24=""),"",IF(補助シート!$CC20="会心",ROUNDDOWN(BD8*134/128,0),IF(補助シート!$CC20="魔力",ROUNDDOWN(BC8*3*補助シート!BU43,0),MAX(IF(補助シート!$AU20="なし",1,0),ROUNDDOWN(IF(補助シート!BW$9="あり",0.5,1)*ROUNDDOWN(IF(補助シート!$AU20="なし",1,補助シート!BW43)*(ROUNDDOWN(IF(AND(補助シート!BW$9="大防御",NOT(補助シート!$AV43="高")),0.1,1)*ROUNDDOWN(IF(AND(補助シート!BW$7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BW$6=1,補助シート!$CC20="隊列"))),2,1)*ROUNDDOWN(HLOOKUP(補助シート!BW$6,味方隊列,MATCH($F24,味方技リスト,0)+1)*(IF(補助シート!$AV20="物理",補助シート!BW20,IF(補助シート!$AV20="魔",補助シート!BW54,VLOOKUP($F24,味方技,3,0)))),0)),0)),0),0)),0),0)))))</f>
        <v/>
      </c>
      <c r="AO24" s="210"/>
      <c r="AP24" s="209" t="str">
        <f ca="1">IF(OR($B24="",AP$19="",$F24=""),"",IF(補助シート!$CC20="会心",ROUNDDOWN(BH8*121/128,0),IF(補助シート!$CC20="魔力",ROUNDDOWN(BG8*3*補助シート!BY43,0),MAX(0,ROUNDDOWN(IF(補助シート!BY$9="あり",0.5,1)*ROUNDDOWN(IF(補助シート!$AU20="なし",1,補助シート!BY43)*(ROUNDDOWN(IF(AND(補助シート!BY$9="大防御",NOT(補助シート!$AV43="高")),0.1,1)*ROUNDDOWN(IF(AND(補助シート!BY$7="あり",OR(補助シート!$AU20="炎",補助シート!$AU20="雪")),0.5,1)*(ROUNDDOWN(IF(AND(OR(補助シート!$AV20="物理",補助シート!$AV20="魔"),$L24="あり",NOT(補助シート!$CC20="倍無")),補助シート!$F$49,1)*(IF(AND(OR(補助シート!$AV20="物理",補助シート!$AV20="魔"),$J24="あり",NOT(補助シート!$CC20="倍無"),OR(NOT(補助シート!$CC20="隊列"),AND(補助シート!BY$6=1,補助シート!$CC20="隊列"))),2,1)*ROUNDDOWN(HLOOKUP(補助シート!BY$6,味方隊列,MATCH($F24,味方技リスト,0)+1)*(IF(補助シート!$AV20="物理",補助シート!BY20,IF(補助シート!$AV20="魔",補助シート!BY54,VLOOKUP($F24,味方技,2,0)))),0)),0)),0),0)),0),0)))))</f>
        <v/>
      </c>
      <c r="AQ24" s="210"/>
      <c r="AR24" s="209" t="str">
        <f ca="1">IF(OR($B24="",AP$19="",$F24=""),"",IF(補助シート!$CC20="会心",ROUNDDOWN(BH8*134/128,0),IF(補助シート!$CC20="魔力",ROUNDDOWN(BG8*3*補助シート!BY43,0),MAX(IF(補助シート!$AU20="なし",1,0),ROUNDDOWN(IF(補助シート!CA$9="あり",0.5,1)*ROUNDDOWN(IF(補助シート!$AU20="なし",1,補助シート!CA43)*(ROUNDDOWN(IF(AND(補助シート!CA$9="大防御",NOT(補助シート!$AV43="高")),0.1,1)*ROUNDDOWN(IF(AND(補助シート!CA$7="あり",OR(補助シート!$AU20="炎",補助シート!$AU20="雪")),0.5,1)*(ROUNDDOWN(IF(AND(OR(補助シート!$AV20="物理",補助シート!$AV20="魔"),$L24="あり",NOT(補助シート!$CC20="倍無")),補助シート!$F$50,1)*(IF(AND(OR(補助シート!$AV20="物理",補助シート!$AV20="魔"),$J24="あり",NOT(補助シート!$CC20="倍無"),OR(NOT(補助シート!$CC20="隊列"),AND(補助シート!CA$6=1,補助シート!$CC20="隊列"))),2,1)*ROUNDDOWN(HLOOKUP(補助シート!CA$6,味方隊列,MATCH($F24,味方技リスト,0)+1)*(IF(補助シート!$AV20="物理",補助シート!CA20,IF(補助シート!$AV20="魔",補助シート!CA54,VLOOKUP($F24,味方技,3,0)))),0)),0)),0),0)),0),0)))))</f>
        <v/>
      </c>
      <c r="AS24" s="210"/>
      <c r="AT24" s="64"/>
      <c r="AU24" s="72"/>
    </row>
    <row r="25" spans="1:47" x14ac:dyDescent="0.15">
      <c r="A25" s="70"/>
      <c r="B25" s="214" t="str">
        <f t="shared" ca="1" si="0"/>
        <v>アモス</v>
      </c>
      <c r="C25" s="215"/>
      <c r="D25" s="215"/>
      <c r="E25" s="216"/>
      <c r="F25" s="183"/>
      <c r="G25" s="184"/>
      <c r="H25" s="184"/>
      <c r="I25" s="185"/>
      <c r="J25" s="189" t="s">
        <v>466</v>
      </c>
      <c r="K25" s="190"/>
      <c r="L25" s="189" t="s">
        <v>466</v>
      </c>
      <c r="M25" s="190"/>
      <c r="N25" s="209" t="str">
        <f ca="1">IF(OR($B25="",N$19="",$F25=""),"",IF(補助シート!$CC21="会心",ROUNDDOWN(AF9*121/128,0),IF(補助シート!$CC21="魔力",ROUNDDOWN(AE9*3*補助シート!AW44,0),MAX(0,ROUNDDOWN(IF(補助シート!AW$9="あり",0.5,1)*ROUNDDOWN(IF(補助シート!$AU21="なし",1,補助シート!AW44)*(ROUNDDOWN(IF(AND(補助シート!AW$9="大防御",NOT(補助シート!$AV44="高")),0.1,1)*ROUNDDOWN(IF(AND(補助シート!AW$7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AW$6=1,補助シート!$CC21="隊列"))),2,1)*ROUNDDOWN(HLOOKUP(補助シート!AW$6,味方隊列,MATCH($F25,味方技リスト,0)+1)*(IF(補助シート!$AV21="物理",補助シート!AW21,IF(補助シート!$AV21="魔",補助シート!AW55,VLOOKUP($F25,味方技,2,0)))),0)),0)),0),0)),0),0)))))</f>
        <v/>
      </c>
      <c r="O25" s="210"/>
      <c r="P25" s="209" t="str">
        <f ca="1">IF(OR($B25="",N$19="",$F25=""),"",IF(補助シート!$CC21="会心",ROUNDDOWN(AF9*134/128,0),IF(補助シート!$CC21="魔力",ROUNDDOWN(AE9*3*補助シート!AW44,0),MAX(IF(補助シート!$AU21="なし",1,0),ROUNDDOWN(IF(補助シート!AY$9="あり",0.5,1)*ROUNDDOWN(IF(補助シート!$AU21="なし",1,補助シート!AY44)*(ROUNDDOWN(IF(AND(補助シート!AY$9="大防御",NOT(補助シート!$AV44="高")),0.1,1)*ROUNDDOWN(IF(AND(補助シート!AY$7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AY$6=1,補助シート!$CC21="隊列"))),2,1)*ROUNDDOWN(HLOOKUP(補助シート!AY$6,味方隊列,MATCH($F25,味方技リスト,0)+1)*(IF(補助シート!$AV21="物理",補助シート!AY21,IF(補助シート!$AV21="魔",補助シート!AY55,VLOOKUP($F25,味方技,3,0)))),0)),0)),0),0)),0),0)))))</f>
        <v/>
      </c>
      <c r="Q25" s="210"/>
      <c r="R25" s="209" t="str">
        <f ca="1">IF(OR($B25="",R$19="",$F25=""),"",IF(補助シート!$CC21="会心",ROUNDDOWN(AJ9*121/128,0),IF(補助シート!$CC21="魔力",ROUNDDOWN(AI9*3*補助シート!BA44,0),MAX(0,ROUNDDOWN(IF(補助シート!BA$9="あり",0.5,1)*ROUNDDOWN(IF(補助シート!$AU21="なし",1,補助シート!BA44)*(ROUNDDOWN(IF(AND(補助シート!BA$9="大防御",NOT(補助シート!$AV44="高")),0.1,1)*ROUNDDOWN(IF(AND(補助シート!BA$7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A$6=1,補助シート!$CC21="隊列"))),2,1)*ROUNDDOWN(HLOOKUP(補助シート!BA$6,味方隊列,MATCH($F25,味方技リスト,0)+1)*(IF(補助シート!$AV21="物理",補助シート!BA21,IF(補助シート!$AV21="魔",補助シート!BA55,VLOOKUP($F25,味方技,2,0)))),0)),0)),0),0)),0),0)))))</f>
        <v/>
      </c>
      <c r="S25" s="210"/>
      <c r="T25" s="209" t="str">
        <f ca="1">IF(OR($B25="",R$19="",$F25=""),"",IF(補助シート!$CC21="会心",ROUNDDOWN(AJ9*134/128,0),IF(補助シート!$CC21="魔力",ROUNDDOWN(AI9*3*補助シート!BA44,0),MAX(IF(補助シート!$AU21="なし",1,0),ROUNDDOWN(IF(補助シート!BC$9="あり",0.5,1)*ROUNDDOWN(IF(補助シート!$AU21="なし",1,補助シート!BC44)*(ROUNDDOWN(IF(AND(補助シート!BC$9="大防御",NOT(補助シート!$AV44="高")),0.1,1)*ROUNDDOWN(IF(AND(補助シート!BC$7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C$6=1,補助シート!$CC21="隊列"))),2,1)*ROUNDDOWN(HLOOKUP(補助シート!BC$6,味方隊列,MATCH($F25,味方技リスト,0)+1)*(IF(補助シート!$AV21="物理",補助シート!BC21,IF(補助シート!$AV21="魔",補助シート!BC55,VLOOKUP($F25,味方技,3,0)))),0)),0)),0),0)),0),0)))))</f>
        <v/>
      </c>
      <c r="U25" s="210"/>
      <c r="V25" s="209" t="str">
        <f ca="1">IF(OR($B25="",V$19="",$F25=""),"",IF(補助シート!$CC21="会心",ROUNDDOWN(AN9*121/128,0),IF(補助シート!$CC21="魔力",ROUNDDOWN(AM9*3*補助シート!BE44,0),MAX(0,ROUNDDOWN(IF(補助シート!BE$9="あり",0.5,1)*ROUNDDOWN(IF(補助シート!$AU21="なし",1,補助シート!BE44)*(ROUNDDOWN(IF(AND(補助シート!BE$9="大防御",NOT(補助シート!$AV44="高")),0.1,1)*ROUNDDOWN(IF(AND(補助シート!BE$7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E$6=1,補助シート!$CC21="隊列"))),2,1)*ROUNDDOWN(HLOOKUP(補助シート!BE$6,味方隊列,MATCH($F25,味方技リスト,0)+1)*(IF(補助シート!$AV21="物理",補助シート!BE21,IF(補助シート!$AV21="魔",補助シート!BE55,VLOOKUP($F25,味方技,2,0)))),0)),0)),0),0)),0),0)))))</f>
        <v/>
      </c>
      <c r="W25" s="210"/>
      <c r="X25" s="209" t="str">
        <f ca="1">IF(OR($B25="",V$19="",$F25=""),"",IF(補助シート!$CC21="会心",ROUNDDOWN(AN9*134/128,0),IF(補助シート!$CC21="魔力",ROUNDDOWN(AM9*3*補助シート!BE44,0),MAX(IF(補助シート!$AU21="なし",1,0),ROUNDDOWN(IF(補助シート!BG$9="あり",0.5,1)*ROUNDDOWN(IF(補助シート!$AU21="なし",1,補助シート!BG44)*(ROUNDDOWN(IF(AND(補助シート!BG$9="大防御",NOT(補助シート!$AV44="高")),0.1,1)*ROUNDDOWN(IF(AND(補助シート!BG$7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G$6=1,補助シート!$CC21="隊列"))),2,1)*ROUNDDOWN(HLOOKUP(補助シート!BG$6,味方隊列,MATCH($F25,味方技リスト,0)+1)*(IF(補助シート!$AV21="物理",補助シート!BG21,IF(補助シート!$AV21="魔",補助シート!BG55,VLOOKUP($F25,味方技,3,0)))),0)),0)),0),0)),0),0)))))</f>
        <v/>
      </c>
      <c r="Y25" s="210"/>
      <c r="Z25" s="209" t="str">
        <f ca="1">IF(OR($B25="",Z$19="",$F25=""),"",IF(補助シート!$CC21="会心",ROUNDDOWN(AR9*121/128,0),IF(補助シート!$CC21="魔力",ROUNDDOWN(AQ9*3*補助シート!BI44,0),MAX(0,ROUNDDOWN(IF(補助シート!BI$9="あり",0.5,1)*ROUNDDOWN(IF(補助シート!$AU21="なし",1,補助シート!BI44)*(ROUNDDOWN(IF(AND(補助シート!BI$9="大防御",NOT(補助シート!$AV44="高")),0.1,1)*ROUNDDOWN(IF(AND(補助シート!BI$7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I$6=1,補助シート!$CC21="隊列"))),2,1)*ROUNDDOWN(HLOOKUP(補助シート!BI$6,味方隊列,MATCH($F25,味方技リスト,0)+1)*(IF(補助シート!$AV21="物理",補助シート!BI21,IF(補助シート!$AV21="魔",補助シート!BI55,VLOOKUP($F25,味方技,2,0)))),0)),0)),0),0)),0),0)))))</f>
        <v/>
      </c>
      <c r="AA25" s="210"/>
      <c r="AB25" s="209" t="str">
        <f ca="1">IF(OR($B25="",Z$19="",$F25=""),"",IF(補助シート!$CC21="会心",ROUNDDOWN(AR9*134/128,0),IF(補助シート!$CC21="魔力",ROUNDDOWN(AQ9*3*補助シート!BI44,0),MAX(IF(補助シート!$AU21="なし",1,0),ROUNDDOWN(IF(補助シート!BK$9="あり",0.5,1)*ROUNDDOWN(IF(補助シート!$AU21="なし",1,補助シート!BK44)*(ROUNDDOWN(IF(AND(補助シート!BK$9="大防御",NOT(補助シート!$AV44="高")),0.1,1)*ROUNDDOWN(IF(AND(補助シート!BK$7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K$6=1,補助シート!$CC21="隊列"))),2,1)*ROUNDDOWN(HLOOKUP(補助シート!BK$6,味方隊列,MATCH($F25,味方技リスト,0)+1)*(IF(補助シート!$AV21="物理",補助シート!BK21,IF(補助シート!$AV21="魔",補助シート!BK55,VLOOKUP($F25,味方技,3,0)))),0)),0)),0),0)),0),0)))))</f>
        <v/>
      </c>
      <c r="AC25" s="210"/>
      <c r="AD25" s="209" t="str">
        <f ca="1">IF(OR($B25="",AD$19="",$F25=""),"",IF(補助シート!$CC21="会心",ROUNDDOWN(AV9*121/128,0),IF(補助シート!$CC21="魔力",ROUNDDOWN(AU9*3*補助シート!BM44,0),MAX(0,ROUNDDOWN(IF(補助シート!BM$9="あり",0.5,1)*ROUNDDOWN(IF(補助シート!$AU21="なし",1,補助シート!BM44)*(ROUNDDOWN(IF(AND(補助シート!BM$9="大防御",NOT(補助シート!$AV44="高")),0.1,1)*ROUNDDOWN(IF(AND(補助シート!BM$7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M$6=1,補助シート!$CC21="隊列"))),2,1)*ROUNDDOWN(HLOOKUP(補助シート!BM$6,味方隊列,MATCH($F25,味方技リスト,0)+1)*(IF(補助シート!$AV21="物理",補助シート!BM21,IF(補助シート!$AV21="魔",補助シート!BM55,VLOOKUP($F25,味方技,2,0)))),0)),0)),0),0)),0),0)))))</f>
        <v/>
      </c>
      <c r="AE25" s="210"/>
      <c r="AF25" s="209" t="str">
        <f ca="1">IF(OR($B25="",AD$19="",$F25=""),"",IF(補助シート!$CC21="会心",ROUNDDOWN(AV9*134/128,0),IF(補助シート!$CC21="魔力",ROUNDDOWN(AU9*3*補助シート!BM44,0),MAX(IF(補助シート!$AU21="なし",1,0),ROUNDDOWN(IF(補助シート!BO$9="あり",0.5,1)*ROUNDDOWN(IF(補助シート!$AU21="なし",1,補助シート!BO44)*(ROUNDDOWN(IF(AND(補助シート!BO$9="大防御",NOT(補助シート!$AV44="高")),0.1,1)*ROUNDDOWN(IF(AND(補助シート!BO$7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O$6=1,補助シート!$CC21="隊列"))),2,1)*ROUNDDOWN(HLOOKUP(補助シート!BO$6,味方隊列,MATCH($F25,味方技リスト,0)+1)*(IF(補助シート!$AV21="物理",補助シート!BO21,IF(補助シート!$AV21="魔",補助シート!BO55,VLOOKUP($F25,味方技,3,0)))),0)),0)),0),0)),0),0)))))</f>
        <v/>
      </c>
      <c r="AG25" s="210"/>
      <c r="AH25" s="209" t="str">
        <f ca="1">IF(OR($B25="",AH$19="",$F25=""),"",IF(補助シート!$CC21="会心",ROUNDDOWN(AZ9*121/128,0),IF(補助シート!$CC21="魔力",ROUNDDOWN(AY9*3*補助シート!BQ44,0),MAX(0,ROUNDDOWN(IF(補助シート!BQ$9="あり",0.5,1)*ROUNDDOWN(IF(補助シート!$AU21="なし",1,補助シート!BQ44)*(ROUNDDOWN(IF(AND(補助シート!BQ$9="大防御",NOT(補助シート!$AV44="高")),0.1,1)*ROUNDDOWN(IF(AND(補助シート!BQ$7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Q$6=1,補助シート!$CC21="隊列"))),2,1)*ROUNDDOWN(HLOOKUP(補助シート!BQ$6,味方隊列,MATCH($F25,味方技リスト,0)+1)*(IF(補助シート!$AV21="物理",補助シート!BQ21,IF(補助シート!$AV21="魔",補助シート!BQ55,VLOOKUP($F25,味方技,2,0)))),0)),0)),0),0)),0),0)))))</f>
        <v/>
      </c>
      <c r="AI25" s="210"/>
      <c r="AJ25" s="209" t="str">
        <f ca="1">IF(OR($B25="",AH$19="",$F25=""),"",IF(補助シート!$CC21="会心",ROUNDDOWN(AZ9*134/128,0),IF(補助シート!$CC21="魔力",ROUNDDOWN(AY9*3*補助シート!BQ44,0),MAX(IF(補助シート!$AU21="なし",1,0),ROUNDDOWN(IF(補助シート!BS$9="あり",0.5,1)*ROUNDDOWN(IF(補助シート!$AU21="なし",1,補助シート!BS44)*(ROUNDDOWN(IF(AND(補助シート!BS$9="大防御",NOT(補助シート!$AV44="高")),0.1,1)*ROUNDDOWN(IF(AND(補助シート!BS$7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S$6=1,補助シート!$CC21="隊列"))),2,1)*ROUNDDOWN(HLOOKUP(補助シート!BS$6,味方隊列,MATCH($F25,味方技リスト,0)+1)*(IF(補助シート!$AV21="物理",補助シート!BS21,IF(補助シート!$AV21="魔",補助シート!BS55,VLOOKUP($F25,味方技,3,0)))),0)),0)),0),0)),0),0)))))</f>
        <v/>
      </c>
      <c r="AK25" s="210"/>
      <c r="AL25" s="209" t="str">
        <f ca="1">IF(OR($B25="",AL$19="",$F25=""),"",IF(補助シート!$CC21="会心",ROUNDDOWN(BD9*121/128,0),IF(補助シート!$CC21="魔力",ROUNDDOWN(BC9*3*補助シート!BU44,0),MAX(0,ROUNDDOWN(IF(補助シート!BU$9="あり",0.5,1)*ROUNDDOWN(IF(補助シート!$AU21="なし",1,補助シート!BU44)*(ROUNDDOWN(IF(AND(補助シート!BU$9="大防御",NOT(補助シート!$AV44="高")),0.1,1)*ROUNDDOWN(IF(AND(補助シート!BU$7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U$6=1,補助シート!$CC21="隊列"))),2,1)*ROUNDDOWN(HLOOKUP(補助シート!BU$6,味方隊列,MATCH($F25,味方技リスト,0)+1)*(IF(補助シート!$AV21="物理",補助シート!BU21,IF(補助シート!$AV21="魔",補助シート!BU55,VLOOKUP($F25,味方技,2,0)))),0)),0)),0),0)),0),0)))))</f>
        <v/>
      </c>
      <c r="AM25" s="210"/>
      <c r="AN25" s="209" t="str">
        <f ca="1">IF(OR($B25="",AL$19="",$F25=""),"",IF(補助シート!$CC21="会心",ROUNDDOWN(BD9*134/128,0),IF(補助シート!$CC21="魔力",ROUNDDOWN(BC9*3*補助シート!BU44,0),MAX(IF(補助シート!$AU21="なし",1,0),ROUNDDOWN(IF(補助シート!BW$9="あり",0.5,1)*ROUNDDOWN(IF(補助シート!$AU21="なし",1,補助シート!BW44)*(ROUNDDOWN(IF(AND(補助シート!BW$9="大防御",NOT(補助シート!$AV44="高")),0.1,1)*ROUNDDOWN(IF(AND(補助シート!BW$7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BW$6=1,補助シート!$CC21="隊列"))),2,1)*ROUNDDOWN(HLOOKUP(補助シート!BW$6,味方隊列,MATCH($F25,味方技リスト,0)+1)*(IF(補助シート!$AV21="物理",補助シート!BW21,IF(補助シート!$AV21="魔",補助シート!BW55,VLOOKUP($F25,味方技,3,0)))),0)),0)),0),0)),0),0)))))</f>
        <v/>
      </c>
      <c r="AO25" s="210"/>
      <c r="AP25" s="209" t="str">
        <f ca="1">IF(OR($B25="",AP$19="",$F25=""),"",IF(補助シート!$CC21="会心",ROUNDDOWN(BH9*121/128,0),IF(補助シート!$CC21="魔力",ROUNDDOWN(BG9*3*補助シート!BY44,0),MAX(0,ROUNDDOWN(IF(補助シート!BY$9="あり",0.5,1)*ROUNDDOWN(IF(補助シート!$AU21="なし",1,補助シート!BY44)*(ROUNDDOWN(IF(AND(補助シート!BY$9="大防御",NOT(補助シート!$AV44="高")),0.1,1)*ROUNDDOWN(IF(AND(補助シート!BY$7="あり",OR(補助シート!$AU21="炎",補助シート!$AU21="雪")),0.5,1)*(ROUNDDOWN(IF(AND(OR(補助シート!$AV21="物理",補助シート!$AV21="魔"),$L25="あり",NOT(補助シート!$CC21="倍無")),補助シート!$F$49,1)*(IF(AND(OR(補助シート!$AV21="物理",補助シート!$AV21="魔"),$J25="あり",NOT(補助シート!$CC21="倍無"),OR(NOT(補助シート!$CC21="隊列"),AND(補助シート!BY$6=1,補助シート!$CC21="隊列"))),2,1)*ROUNDDOWN(HLOOKUP(補助シート!BY$6,味方隊列,MATCH($F25,味方技リスト,0)+1)*(IF(補助シート!$AV21="物理",補助シート!BY21,IF(補助シート!$AV21="魔",補助シート!BY55,VLOOKUP($F25,味方技,2,0)))),0)),0)),0),0)),0),0)))))</f>
        <v/>
      </c>
      <c r="AQ25" s="210"/>
      <c r="AR25" s="209" t="str">
        <f ca="1">IF(OR($B25="",AP$19="",$F25=""),"",IF(補助シート!$CC21="会心",ROUNDDOWN(BH9*134/128,0),IF(補助シート!$CC21="魔力",ROUNDDOWN(BG9*3*補助シート!BY44,0),MAX(IF(補助シート!$AU21="なし",1,0),ROUNDDOWN(IF(補助シート!CA$9="あり",0.5,1)*ROUNDDOWN(IF(補助シート!$AU21="なし",1,補助シート!CA44)*(ROUNDDOWN(IF(AND(補助シート!CA$9="大防御",NOT(補助シート!$AV44="高")),0.1,1)*ROUNDDOWN(IF(AND(補助シート!CA$7="あり",OR(補助シート!$AU21="炎",補助シート!$AU21="雪")),0.5,1)*(ROUNDDOWN(IF(AND(OR(補助シート!$AV21="物理",補助シート!$AV21="魔"),$L25="あり",NOT(補助シート!$CC21="倍無")),補助シート!$F$50,1)*(IF(AND(OR(補助シート!$AV21="物理",補助シート!$AV21="魔"),$J25="あり",NOT(補助シート!$CC21="倍無"),OR(NOT(補助シート!$CC21="隊列"),AND(補助シート!CA$6=1,補助シート!$CC21="隊列"))),2,1)*ROUNDDOWN(HLOOKUP(補助シート!CA$6,味方隊列,MATCH($F25,味方技リスト,0)+1)*(IF(補助シート!$AV21="物理",補助シート!CA21,IF(補助シート!$AV21="魔",補助シート!CA55,VLOOKUP($F25,味方技,3,0)))),0)),0)),0),0)),0),0)))))</f>
        <v/>
      </c>
      <c r="AS25" s="210"/>
      <c r="AT25" s="64"/>
      <c r="AU25" s="72"/>
    </row>
    <row r="26" spans="1:47" x14ac:dyDescent="0.15">
      <c r="A26" s="70"/>
      <c r="B26" s="214" t="str">
        <f t="shared" ca="1" si="0"/>
        <v>テリー</v>
      </c>
      <c r="C26" s="215"/>
      <c r="D26" s="215"/>
      <c r="E26" s="216"/>
      <c r="F26" s="183" t="s">
        <v>941</v>
      </c>
      <c r="G26" s="184"/>
      <c r="H26" s="184"/>
      <c r="I26" s="185"/>
      <c r="J26" s="189" t="s">
        <v>466</v>
      </c>
      <c r="K26" s="190"/>
      <c r="L26" s="189" t="s">
        <v>466</v>
      </c>
      <c r="M26" s="190"/>
      <c r="N26" s="209">
        <f ca="1">IF(OR($B26="",N$19="",$F26=""),"",IF(補助シート!$CC22="会心",ROUNDDOWN(AF10*121/128,0),IF(補助シート!$CC22="魔力",ROUNDDOWN(AE10*3*補助シート!AW45,0),MAX(0,ROUNDDOWN(IF(補助シート!AW$9="あり",0.5,1)*ROUNDDOWN(IF(補助シート!$AU22="なし",1,補助シート!AW45)*(ROUNDDOWN(IF(AND(補助シート!AW$9="大防御",NOT(補助シート!$AV45="高")),0.1,1)*ROUNDDOWN(IF(AND(補助シート!AW$7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AW$6=1,補助シート!$CC22="隊列"))),2,1)*ROUNDDOWN(HLOOKUP(補助シート!AW$6,味方隊列,MATCH($F26,味方技リスト,0)+1)*(IF(補助シート!$AV22="物理",補助シート!AW22,IF(補助シート!$AV22="魔",補助シート!AW56,VLOOKUP($F26,味方技,2,0)))),0)),0)),0),0)),0),0)))))</f>
        <v>48</v>
      </c>
      <c r="O26" s="210"/>
      <c r="P26" s="209">
        <f ca="1">IF(OR($B26="",N$19="",$F26=""),"",IF(補助シート!$CC22="会心",ROUNDDOWN(AF10*134/128,0),IF(補助シート!$CC22="魔力",ROUNDDOWN(AE10*3*補助シート!AW45,0),MAX(IF(補助シート!$AU22="なし",1,0),ROUNDDOWN(IF(補助シート!AY$9="あり",0.5,1)*ROUNDDOWN(IF(補助シート!$AU22="なし",1,補助シート!AY45)*(ROUNDDOWN(IF(AND(補助シート!AY$9="大防御",NOT(補助シート!$AV45="高")),0.1,1)*ROUNDDOWN(IF(AND(補助シート!AY$7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AY$6=1,補助シート!$CC22="隊列"))),2,1)*ROUNDDOWN(HLOOKUP(補助シート!AY$6,味方隊列,MATCH($F26,味方技リスト,0)+1)*(IF(補助シート!$AV22="物理",補助シート!AY22,IF(補助シート!$AV22="魔",補助シート!AY56,VLOOKUP($F26,味方技,3,0)))),0)),0)),0),0)),0),0)))))</f>
        <v>62</v>
      </c>
      <c r="Q26" s="210"/>
      <c r="R26" s="209">
        <f ca="1">IF(OR($B26="",R$19="",$F26=""),"",IF(補助シート!$CC22="会心",ROUNDDOWN(AJ10*121/128,0),IF(補助シート!$CC22="魔力",ROUNDDOWN(AI10*3*補助シート!BA45,0),MAX(0,ROUNDDOWN(IF(補助シート!BA$9="あり",0.5,1)*ROUNDDOWN(IF(補助シート!$AU22="なし",1,補助シート!BA45)*(ROUNDDOWN(IF(AND(補助シート!BA$9="大防御",NOT(補助シート!$AV45="高")),0.1,1)*ROUNDDOWN(IF(AND(補助シート!BA$7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A$6=1,補助シート!$CC22="隊列"))),2,1)*ROUNDDOWN(HLOOKUP(補助シート!BA$6,味方隊列,MATCH($F26,味方技リスト,0)+1)*(IF(補助シート!$AV22="物理",補助シート!BA22,IF(補助シート!$AV22="魔",補助シート!BA56,VLOOKUP($F26,味方技,2,0)))),0)),0)),0),0)),0),0)))))</f>
        <v>48</v>
      </c>
      <c r="S26" s="210"/>
      <c r="T26" s="209">
        <f ca="1">IF(OR($B26="",R$19="",$F26=""),"",IF(補助シート!$CC22="会心",ROUNDDOWN(AJ10*134/128,0),IF(補助シート!$CC22="魔力",ROUNDDOWN(AI10*3*補助シート!BA45,0),MAX(IF(補助シート!$AU22="なし",1,0),ROUNDDOWN(IF(補助シート!BC$9="あり",0.5,1)*ROUNDDOWN(IF(補助シート!$AU22="なし",1,補助シート!BC45)*(ROUNDDOWN(IF(AND(補助シート!BC$9="大防御",NOT(補助シート!$AV45="高")),0.1,1)*ROUNDDOWN(IF(AND(補助シート!BC$7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C$6=1,補助シート!$CC22="隊列"))),2,1)*ROUNDDOWN(HLOOKUP(補助シート!BC$6,味方隊列,MATCH($F26,味方技リスト,0)+1)*(IF(補助シート!$AV22="物理",補助シート!BC22,IF(補助シート!$AV22="魔",補助シート!BC56,VLOOKUP($F26,味方技,3,0)))),0)),0)),0),0)),0),0)))))</f>
        <v>62</v>
      </c>
      <c r="U26" s="210"/>
      <c r="V26" s="209">
        <f ca="1">IF(OR($B26="",V$19="",$F26=""),"",IF(補助シート!$CC22="会心",ROUNDDOWN(AN10*121/128,0),IF(補助シート!$CC22="魔力",ROUNDDOWN(AM10*3*補助シート!BE45,0),MAX(0,ROUNDDOWN(IF(補助シート!BE$9="あり",0.5,1)*ROUNDDOWN(IF(補助シート!$AU22="なし",1,補助シート!BE45)*(ROUNDDOWN(IF(AND(補助シート!BE$9="大防御",NOT(補助シート!$AV45="高")),0.1,1)*ROUNDDOWN(IF(AND(補助シート!BE$7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E$6=1,補助シート!$CC22="隊列"))),2,1)*ROUNDDOWN(HLOOKUP(補助シート!BE$6,味方隊列,MATCH($F26,味方技リスト,0)+1)*(IF(補助シート!$AV22="物理",補助シート!BE22,IF(補助シート!$AV22="魔",補助シート!BE56,VLOOKUP($F26,味方技,2,0)))),0)),0)),0),0)),0),0)))))</f>
        <v>48</v>
      </c>
      <c r="W26" s="210"/>
      <c r="X26" s="209">
        <f ca="1">IF(OR($B26="",V$19="",$F26=""),"",IF(補助シート!$CC22="会心",ROUNDDOWN(AN10*134/128,0),IF(補助シート!$CC22="魔力",ROUNDDOWN(AM10*3*補助シート!BE45,0),MAX(IF(補助シート!$AU22="なし",1,0),ROUNDDOWN(IF(補助シート!BG$9="あり",0.5,1)*ROUNDDOWN(IF(補助シート!$AU22="なし",1,補助シート!BG45)*(ROUNDDOWN(IF(AND(補助シート!BG$9="大防御",NOT(補助シート!$AV45="高")),0.1,1)*ROUNDDOWN(IF(AND(補助シート!BG$7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G$6=1,補助シート!$CC22="隊列"))),2,1)*ROUNDDOWN(HLOOKUP(補助シート!BG$6,味方隊列,MATCH($F26,味方技リスト,0)+1)*(IF(補助シート!$AV22="物理",補助シート!BG22,IF(補助シート!$AV22="魔",補助シート!BG56,VLOOKUP($F26,味方技,3,0)))),0)),0)),0),0)),0),0)))))</f>
        <v>62</v>
      </c>
      <c r="Y26" s="210"/>
      <c r="Z26" s="209">
        <f ca="1">IF(OR($B26="",Z$19="",$F26=""),"",IF(補助シート!$CC22="会心",ROUNDDOWN(AR10*121/128,0),IF(補助シート!$CC22="魔力",ROUNDDOWN(AQ10*3*補助シート!BI45,0),MAX(0,ROUNDDOWN(IF(補助シート!BI$9="あり",0.5,1)*ROUNDDOWN(IF(補助シート!$AU22="なし",1,補助シート!BI45)*(ROUNDDOWN(IF(AND(補助シート!BI$9="大防御",NOT(補助シート!$AV45="高")),0.1,1)*ROUNDDOWN(IF(AND(補助シート!BI$7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I$6=1,補助シート!$CC22="隊列"))),2,1)*ROUNDDOWN(HLOOKUP(補助シート!BI$6,味方隊列,MATCH($F26,味方技リスト,0)+1)*(IF(補助シート!$AV22="物理",補助シート!BI22,IF(補助シート!$AV22="魔",補助シート!BI56,VLOOKUP($F26,味方技,2,0)))),0)),0)),0),0)),0),0)))))</f>
        <v>48</v>
      </c>
      <c r="AA26" s="210"/>
      <c r="AB26" s="209">
        <f ca="1">IF(OR($B26="",Z$19="",$F26=""),"",IF(補助シート!$CC22="会心",ROUNDDOWN(AR10*134/128,0),IF(補助シート!$CC22="魔力",ROUNDDOWN(AQ10*3*補助シート!BI45,0),MAX(IF(補助シート!$AU22="なし",1,0),ROUNDDOWN(IF(補助シート!BK$9="あり",0.5,1)*ROUNDDOWN(IF(補助シート!$AU22="なし",1,補助シート!BK45)*(ROUNDDOWN(IF(AND(補助シート!BK$9="大防御",NOT(補助シート!$AV45="高")),0.1,1)*ROUNDDOWN(IF(AND(補助シート!BK$7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K$6=1,補助シート!$CC22="隊列"))),2,1)*ROUNDDOWN(HLOOKUP(補助シート!BK$6,味方隊列,MATCH($F26,味方技リスト,0)+1)*(IF(補助シート!$AV22="物理",補助シート!BK22,IF(補助シート!$AV22="魔",補助シート!BK56,VLOOKUP($F26,味方技,3,0)))),0)),0)),0),0)),0),0)))))</f>
        <v>62</v>
      </c>
      <c r="AC26" s="210"/>
      <c r="AD26" s="209">
        <f ca="1">IF(OR($B26="",AD$19="",$F26=""),"",IF(補助シート!$CC22="会心",ROUNDDOWN(AV10*121/128,0),IF(補助シート!$CC22="魔力",ROUNDDOWN(AU10*3*補助シート!BM45,0),MAX(0,ROUNDDOWN(IF(補助シート!BM$9="あり",0.5,1)*ROUNDDOWN(IF(補助シート!$AU22="なし",1,補助シート!BM45)*(ROUNDDOWN(IF(AND(補助シート!BM$9="大防御",NOT(補助シート!$AV45="高")),0.1,1)*ROUNDDOWN(IF(AND(補助シート!BM$7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M$6=1,補助シート!$CC22="隊列"))),2,1)*ROUNDDOWN(HLOOKUP(補助シート!BM$6,味方隊列,MATCH($F26,味方技リスト,0)+1)*(IF(補助シート!$AV22="物理",補助シート!BM22,IF(補助シート!$AV22="魔",補助シート!BM56,VLOOKUP($F26,味方技,2,0)))),0)),0)),0),0)),0),0)))))</f>
        <v>48</v>
      </c>
      <c r="AE26" s="210"/>
      <c r="AF26" s="209">
        <f ca="1">IF(OR($B26="",AD$19="",$F26=""),"",IF(補助シート!$CC22="会心",ROUNDDOWN(AV10*134/128,0),IF(補助シート!$CC22="魔力",ROUNDDOWN(AU10*3*補助シート!BM45,0),MAX(IF(補助シート!$AU22="なし",1,0),ROUNDDOWN(IF(補助シート!BO$9="あり",0.5,1)*ROUNDDOWN(IF(補助シート!$AU22="なし",1,補助シート!BO45)*(ROUNDDOWN(IF(AND(補助シート!BO$9="大防御",NOT(補助シート!$AV45="高")),0.1,1)*ROUNDDOWN(IF(AND(補助シート!BO$7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O$6=1,補助シート!$CC22="隊列"))),2,1)*ROUNDDOWN(HLOOKUP(補助シート!BO$6,味方隊列,MATCH($F26,味方技リスト,0)+1)*(IF(補助シート!$AV22="物理",補助シート!BO22,IF(補助シート!$AV22="魔",補助シート!BO56,VLOOKUP($F26,味方技,3,0)))),0)),0)),0),0)),0),0)))))</f>
        <v>62</v>
      </c>
      <c r="AG26" s="210"/>
      <c r="AH26" s="209">
        <f ca="1">IF(OR($B26="",AH$19="",$F26=""),"",IF(補助シート!$CC22="会心",ROUNDDOWN(AZ10*121/128,0),IF(補助シート!$CC22="魔力",ROUNDDOWN(AY10*3*補助シート!BQ45,0),MAX(0,ROUNDDOWN(IF(補助シート!BQ$9="あり",0.5,1)*ROUNDDOWN(IF(補助シート!$AU22="なし",1,補助シート!BQ45)*(ROUNDDOWN(IF(AND(補助シート!BQ$9="大防御",NOT(補助シート!$AV45="高")),0.1,1)*ROUNDDOWN(IF(AND(補助シート!BQ$7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Q$6=1,補助シート!$CC22="隊列"))),2,1)*ROUNDDOWN(HLOOKUP(補助シート!BQ$6,味方隊列,MATCH($F26,味方技リスト,0)+1)*(IF(補助シート!$AV22="物理",補助シート!BQ22,IF(補助シート!$AV22="魔",補助シート!BQ56,VLOOKUP($F26,味方技,2,0)))),0)),0)),0),0)),0),0)))))</f>
        <v>70</v>
      </c>
      <c r="AI26" s="210"/>
      <c r="AJ26" s="209">
        <f ca="1">IF(OR($B26="",AH$19="",$F26=""),"",IF(補助シート!$CC22="会心",ROUNDDOWN(AZ10*134/128,0),IF(補助シート!$CC22="魔力",ROUNDDOWN(AY10*3*補助シート!BQ45,0),MAX(IF(補助シート!$AU22="なし",1,0),ROUNDDOWN(IF(補助シート!BS$9="あり",0.5,1)*ROUNDDOWN(IF(補助シート!$AU22="なし",1,補助シート!BS45)*(ROUNDDOWN(IF(AND(補助シート!BS$9="大防御",NOT(補助シート!$AV45="高")),0.1,1)*ROUNDDOWN(IF(AND(補助シート!BS$7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S$6=1,補助シート!$CC22="隊列"))),2,1)*ROUNDDOWN(HLOOKUP(補助シート!BS$6,味方隊列,MATCH($F26,味方技リスト,0)+1)*(IF(補助シート!$AV22="物理",補助シート!BS22,IF(補助シート!$AV22="魔",補助シート!BS56,VLOOKUP($F26,味方技,3,0)))),0)),0)),0),0)),0),0)))))</f>
        <v>90</v>
      </c>
      <c r="AK26" s="210"/>
      <c r="AL26" s="209">
        <f ca="1">IF(OR($B26="",AL$19="",$F26=""),"",IF(補助シート!$CC22="会心",ROUNDDOWN(BD10*121/128,0),IF(補助シート!$CC22="魔力",ROUNDDOWN(BC10*3*補助シート!BU45,0),MAX(0,ROUNDDOWN(IF(補助シート!BU$9="あり",0.5,1)*ROUNDDOWN(IF(補助シート!$AU22="なし",1,補助シート!BU45)*(ROUNDDOWN(IF(AND(補助シート!BU$9="大防御",NOT(補助シート!$AV45="高")),0.1,1)*ROUNDDOWN(IF(AND(補助シート!BU$7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U$6=1,補助シート!$CC22="隊列"))),2,1)*ROUNDDOWN(HLOOKUP(補助シート!BU$6,味方隊列,MATCH($F26,味方技リスト,0)+1)*(IF(補助シート!$AV22="物理",補助シート!BU22,IF(補助シート!$AV22="魔",補助シート!BU56,VLOOKUP($F26,味方技,2,0)))),0)),0)),0),0)),0),0)))))</f>
        <v>70</v>
      </c>
      <c r="AM26" s="210"/>
      <c r="AN26" s="209">
        <f ca="1">IF(OR($B26="",AL$19="",$F26=""),"",IF(補助シート!$CC22="会心",ROUNDDOWN(BD10*134/128,0),IF(補助シート!$CC22="魔力",ROUNDDOWN(BC10*3*補助シート!BU45,0),MAX(IF(補助シート!$AU22="なし",1,0),ROUNDDOWN(IF(補助シート!BW$9="あり",0.5,1)*ROUNDDOWN(IF(補助シート!$AU22="なし",1,補助シート!BW45)*(ROUNDDOWN(IF(AND(補助シート!BW$9="大防御",NOT(補助シート!$AV45="高")),0.1,1)*ROUNDDOWN(IF(AND(補助シート!BW$7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BW$6=1,補助シート!$CC22="隊列"))),2,1)*ROUNDDOWN(HLOOKUP(補助シート!BW$6,味方隊列,MATCH($F26,味方技リスト,0)+1)*(IF(補助シート!$AV22="物理",補助シート!BW22,IF(補助シート!$AV22="魔",補助シート!BW56,VLOOKUP($F26,味方技,3,0)))),0)),0)),0),0)),0),0)))))</f>
        <v>90</v>
      </c>
      <c r="AO26" s="210"/>
      <c r="AP26" s="209">
        <f ca="1">IF(OR($B26="",AP$19="",$F26=""),"",IF(補助シート!$CC22="会心",ROUNDDOWN(BH10*121/128,0),IF(補助シート!$CC22="魔力",ROUNDDOWN(BG10*3*補助シート!BY45,0),MAX(0,ROUNDDOWN(IF(補助シート!BY$9="あり",0.5,1)*ROUNDDOWN(IF(補助シート!$AU22="なし",1,補助シート!BY45)*(ROUNDDOWN(IF(AND(補助シート!BY$9="大防御",NOT(補助シート!$AV45="高")),0.1,1)*ROUNDDOWN(IF(AND(補助シート!BY$7="あり",OR(補助シート!$AU22="炎",補助シート!$AU22="雪")),0.5,1)*(ROUNDDOWN(IF(AND(OR(補助シート!$AV22="物理",補助シート!$AV22="魔"),$L26="あり",NOT(補助シート!$CC22="倍無")),補助シート!$F$49,1)*(IF(AND(OR(補助シート!$AV22="物理",補助シート!$AV22="魔"),$J26="あり",NOT(補助シート!$CC22="倍無"),OR(NOT(補助シート!$CC22="隊列"),AND(補助シート!BY$6=1,補助シート!$CC22="隊列"))),2,1)*ROUNDDOWN(HLOOKUP(補助シート!BY$6,味方隊列,MATCH($F26,味方技リスト,0)+1)*(IF(補助シート!$AV22="物理",補助シート!BY22,IF(補助シート!$AV22="魔",補助シート!BY56,VLOOKUP($F26,味方技,2,0)))),0)),0)),0),0)),0),0)))))</f>
        <v>70</v>
      </c>
      <c r="AQ26" s="210"/>
      <c r="AR26" s="209">
        <f ca="1">IF(OR($B26="",AP$19="",$F26=""),"",IF(補助シート!$CC22="会心",ROUNDDOWN(BH10*134/128,0),IF(補助シート!$CC22="魔力",ROUNDDOWN(BG10*3*補助シート!BY45,0),MAX(IF(補助シート!$AU22="なし",1,0),ROUNDDOWN(IF(補助シート!CA$9="あり",0.5,1)*ROUNDDOWN(IF(補助シート!$AU22="なし",1,補助シート!CA45)*(ROUNDDOWN(IF(AND(補助シート!CA$9="大防御",NOT(補助シート!$AV45="高")),0.1,1)*ROUNDDOWN(IF(AND(補助シート!CA$7="あり",OR(補助シート!$AU22="炎",補助シート!$AU22="雪")),0.5,1)*(ROUNDDOWN(IF(AND(OR(補助シート!$AV22="物理",補助シート!$AV22="魔"),$L26="あり",NOT(補助シート!$CC22="倍無")),補助シート!$F$50,1)*(IF(AND(OR(補助シート!$AV22="物理",補助シート!$AV22="魔"),$J26="あり",NOT(補助シート!$CC22="倍無"),OR(NOT(補助シート!$CC22="隊列"),AND(補助シート!CA$6=1,補助シート!$CC22="隊列"))),2,1)*ROUNDDOWN(HLOOKUP(補助シート!CA$6,味方隊列,MATCH($F26,味方技リスト,0)+1)*(IF(補助シート!$AV22="物理",補助シート!CA22,IF(補助シート!$AV22="魔",補助シート!CA56,VLOOKUP($F26,味方技,3,0)))),0)),0)),0),0)),0),0)))))</f>
        <v>90</v>
      </c>
      <c r="AS26" s="210"/>
      <c r="AT26" s="64"/>
      <c r="AU26" s="72"/>
    </row>
    <row r="27" spans="1:47" x14ac:dyDescent="0.15">
      <c r="A27" s="70"/>
      <c r="B27" s="214" t="str">
        <f t="shared" ca="1" si="0"/>
        <v>ドランゴ</v>
      </c>
      <c r="C27" s="215"/>
      <c r="D27" s="215"/>
      <c r="E27" s="216"/>
      <c r="F27" s="183" t="s">
        <v>202</v>
      </c>
      <c r="G27" s="184"/>
      <c r="H27" s="184"/>
      <c r="I27" s="185"/>
      <c r="J27" s="201" t="s">
        <v>724</v>
      </c>
      <c r="K27" s="202"/>
      <c r="L27" s="201" t="s">
        <v>724</v>
      </c>
      <c r="M27" s="202"/>
      <c r="N27" s="209">
        <f ca="1">IF(OR($B27="",N$19="",$F27=""),"",IF(補助シート!$CC23="会心",ROUNDDOWN(AF11*121/128,0),IF(補助シート!$CC23="魔力",ROUNDDOWN(AE11*3*補助シート!AW46,0),MAX(0,ROUNDDOWN(IF(補助シート!AW$9="あり",0.5,1)*ROUNDDOWN(IF(補助シート!$AU23="なし",1,補助シート!AW46)*(ROUNDDOWN(IF(AND(補助シート!AW$9="大防御",NOT(補助シート!$AV46="高")),0.1,1)*ROUNDDOWN(IF(AND(補助シート!AW$7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AW$6=1,補助シート!$CC23="隊列"))),2,1)*ROUNDDOWN(HLOOKUP(補助シート!AW$6,味方隊列,MATCH($F27,味方技リスト,0)+1)*(IF(補助シート!$AV23="物理",補助シート!AW23,IF(補助シート!$AV23="魔",補助シート!AW57,VLOOKUP($F27,味方技,2,0)))),0)),0)),0),0)),0),0)))))</f>
        <v>184</v>
      </c>
      <c r="O27" s="210"/>
      <c r="P27" s="209">
        <f ca="1">IF(OR($B27="",N$19="",$F27=""),"",IF(補助シート!$CC23="会心",ROUNDDOWN(AF11*134/128,0),IF(補助シート!$CC23="魔力",ROUNDDOWN(AE11*3*補助シート!AW46,0),MAX(IF(補助シート!$AU23="なし",1,0),ROUNDDOWN(IF(補助シート!AY$9="あり",0.5,1)*ROUNDDOWN(IF(補助シート!$AU23="なし",1,補助シート!AY46)*(ROUNDDOWN(IF(AND(補助シート!AY$9="大防御",NOT(補助シート!$AV46="高")),0.1,1)*ROUNDDOWN(IF(AND(補助シート!AY$7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AY$6=1,補助シート!$CC23="隊列"))),2,1)*ROUNDDOWN(HLOOKUP(補助シート!AY$6,味方隊列,MATCH($F27,味方技リスト,0)+1)*(IF(補助シート!$AV23="物理",補助シート!AY23,IF(補助シート!$AV23="魔",補助シート!AY57,VLOOKUP($F27,味方技,3,0)))),0)),0)),0),0)),0),0)))))</f>
        <v>270</v>
      </c>
      <c r="Q27" s="210"/>
      <c r="R27" s="209">
        <f ca="1">IF(OR($B27="",R$19="",$F27=""),"",IF(補助シート!$CC23="会心",ROUNDDOWN(AJ11*121/128,0),IF(補助シート!$CC23="魔力",ROUNDDOWN(AI11*3*補助シート!BA46,0),MAX(0,ROUNDDOWN(IF(補助シート!BA$9="あり",0.5,1)*ROUNDDOWN(IF(補助シート!$AU23="なし",1,補助シート!BA46)*(ROUNDDOWN(IF(AND(補助シート!BA$9="大防御",NOT(補助シート!$AV46="高")),0.1,1)*ROUNDDOWN(IF(AND(補助シート!BA$7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A$6=1,補助シート!$CC23="隊列"))),2,1)*ROUNDDOWN(HLOOKUP(補助シート!BA$6,味方隊列,MATCH($F27,味方技リスト,0)+1)*(IF(補助シート!$AV23="物理",補助シート!BA23,IF(補助シート!$AV23="魔",補助シート!BA57,VLOOKUP($F27,味方技,2,0)))),0)),0)),0),0)),0),0)))))</f>
        <v>184</v>
      </c>
      <c r="S27" s="210"/>
      <c r="T27" s="209">
        <f ca="1">IF(OR($B27="",R$19="",$F27=""),"",IF(補助シート!$CC23="会心",ROUNDDOWN(AJ11*134/128,0),IF(補助シート!$CC23="魔力",ROUNDDOWN(AI11*3*補助シート!BA46,0),MAX(IF(補助シート!$AU23="なし",1,0),ROUNDDOWN(IF(補助シート!BC$9="あり",0.5,1)*ROUNDDOWN(IF(補助シート!$AU23="なし",1,補助シート!BC46)*(ROUNDDOWN(IF(AND(補助シート!BC$9="大防御",NOT(補助シート!$AV46="高")),0.1,1)*ROUNDDOWN(IF(AND(補助シート!BC$7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C$6=1,補助シート!$CC23="隊列"))),2,1)*ROUNDDOWN(HLOOKUP(補助シート!BC$6,味方隊列,MATCH($F27,味方技リスト,0)+1)*(IF(補助シート!$AV23="物理",補助シート!BC23,IF(補助シート!$AV23="魔",補助シート!BC57,VLOOKUP($F27,味方技,3,0)))),0)),0)),0),0)),0),0)))))</f>
        <v>270</v>
      </c>
      <c r="U27" s="210"/>
      <c r="V27" s="209">
        <f ca="1">IF(OR($B27="",V$19="",$F27=""),"",IF(補助シート!$CC23="会心",ROUNDDOWN(AN11*121/128,0),IF(補助シート!$CC23="魔力",ROUNDDOWN(AM11*3*補助シート!BE46,0),MAX(0,ROUNDDOWN(IF(補助シート!BE$9="あり",0.5,1)*ROUNDDOWN(IF(補助シート!$AU23="なし",1,補助シート!BE46)*(ROUNDDOWN(IF(AND(補助シート!BE$9="大防御",NOT(補助シート!$AV46="高")),0.1,1)*ROUNDDOWN(IF(AND(補助シート!BE$7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E$6=1,補助シート!$CC23="隊列"))),2,1)*ROUNDDOWN(HLOOKUP(補助シート!BE$6,味方隊列,MATCH($F27,味方技リスト,0)+1)*(IF(補助シート!$AV23="物理",補助シート!BE23,IF(補助シート!$AV23="魔",補助シート!BE57,VLOOKUP($F27,味方技,2,0)))),0)),0)),0),0)),0),0)))))</f>
        <v>184</v>
      </c>
      <c r="W27" s="210"/>
      <c r="X27" s="209">
        <f ca="1">IF(OR($B27="",V$19="",$F27=""),"",IF(補助シート!$CC23="会心",ROUNDDOWN(AN11*134/128,0),IF(補助シート!$CC23="魔力",ROUNDDOWN(AM11*3*補助シート!BE46,0),MAX(IF(補助シート!$AU23="なし",1,0),ROUNDDOWN(IF(補助シート!BG$9="あり",0.5,1)*ROUNDDOWN(IF(補助シート!$AU23="なし",1,補助シート!BG46)*(ROUNDDOWN(IF(AND(補助シート!BG$9="大防御",NOT(補助シート!$AV46="高")),0.1,1)*ROUNDDOWN(IF(AND(補助シート!BG$7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G$6=1,補助シート!$CC23="隊列"))),2,1)*ROUNDDOWN(HLOOKUP(補助シート!BG$6,味方隊列,MATCH($F27,味方技リスト,0)+1)*(IF(補助シート!$AV23="物理",補助シート!BG23,IF(補助シート!$AV23="魔",補助シート!BG57,VLOOKUP($F27,味方技,3,0)))),0)),0)),0),0)),0),0)))))</f>
        <v>270</v>
      </c>
      <c r="Y27" s="210"/>
      <c r="Z27" s="209">
        <f ca="1">IF(OR($B27="",Z$19="",$F27=""),"",IF(補助シート!$CC23="会心",ROUNDDOWN(AR11*121/128,0),IF(補助シート!$CC23="魔力",ROUNDDOWN(AQ11*3*補助シート!BI46,0),MAX(0,ROUNDDOWN(IF(補助シート!BI$9="あり",0.5,1)*ROUNDDOWN(IF(補助シート!$AU23="なし",1,補助シート!BI46)*(ROUNDDOWN(IF(AND(補助シート!BI$9="大防御",NOT(補助シート!$AV46="高")),0.1,1)*ROUNDDOWN(IF(AND(補助シート!BI$7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I$6=1,補助シート!$CC23="隊列"))),2,1)*ROUNDDOWN(HLOOKUP(補助シート!BI$6,味方隊列,MATCH($F27,味方技リスト,0)+1)*(IF(補助シート!$AV23="物理",補助シート!BI23,IF(補助シート!$AV23="魔",補助シート!BI57,VLOOKUP($F27,味方技,2,0)))),0)),0)),0),0)),0),0)))))</f>
        <v>184</v>
      </c>
      <c r="AA27" s="210"/>
      <c r="AB27" s="209">
        <f ca="1">IF(OR($B27="",Z$19="",$F27=""),"",IF(補助シート!$CC23="会心",ROUNDDOWN(AR11*134/128,0),IF(補助シート!$CC23="魔力",ROUNDDOWN(AQ11*3*補助シート!BI46,0),MAX(IF(補助シート!$AU23="なし",1,0),ROUNDDOWN(IF(補助シート!BK$9="あり",0.5,1)*ROUNDDOWN(IF(補助シート!$AU23="なし",1,補助シート!BK46)*(ROUNDDOWN(IF(AND(補助シート!BK$9="大防御",NOT(補助シート!$AV46="高")),0.1,1)*ROUNDDOWN(IF(AND(補助シート!BK$7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K$6=1,補助シート!$CC23="隊列"))),2,1)*ROUNDDOWN(HLOOKUP(補助シート!BK$6,味方隊列,MATCH($F27,味方技リスト,0)+1)*(IF(補助シート!$AV23="物理",補助シート!BK23,IF(補助シート!$AV23="魔",補助シート!BK57,VLOOKUP($F27,味方技,3,0)))),0)),0)),0),0)),0),0)))))</f>
        <v>270</v>
      </c>
      <c r="AC27" s="210"/>
      <c r="AD27" s="209">
        <f ca="1">IF(OR($B27="",AD$19="",$F27=""),"",IF(補助シート!$CC23="会心",ROUNDDOWN(AV11*121/128,0),IF(補助シート!$CC23="魔力",ROUNDDOWN(AU11*3*補助シート!BM46,0),MAX(0,ROUNDDOWN(IF(補助シート!BM$9="あり",0.5,1)*ROUNDDOWN(IF(補助シート!$AU23="なし",1,補助シート!BM46)*(ROUNDDOWN(IF(AND(補助シート!BM$9="大防御",NOT(補助シート!$AV46="高")),0.1,1)*ROUNDDOWN(IF(AND(補助シート!BM$7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M$6=1,補助シート!$CC23="隊列"))),2,1)*ROUNDDOWN(HLOOKUP(補助シート!BM$6,味方隊列,MATCH($F27,味方技リスト,0)+1)*(IF(補助シート!$AV23="物理",補助シート!BM23,IF(補助シート!$AV23="魔",補助シート!BM57,VLOOKUP($F27,味方技,2,0)))),0)),0)),0),0)),0),0)))))</f>
        <v>184</v>
      </c>
      <c r="AE27" s="210"/>
      <c r="AF27" s="209">
        <f ca="1">IF(OR($B27="",AD$19="",$F27=""),"",IF(補助シート!$CC23="会心",ROUNDDOWN(AV11*134/128,0),IF(補助シート!$CC23="魔力",ROUNDDOWN(AU11*3*補助シート!BM46,0),MAX(IF(補助シート!$AU23="なし",1,0),ROUNDDOWN(IF(補助シート!BO$9="あり",0.5,1)*ROUNDDOWN(IF(補助シート!$AU23="なし",1,補助シート!BO46)*(ROUNDDOWN(IF(AND(補助シート!BO$9="大防御",NOT(補助シート!$AV46="高")),0.1,1)*ROUNDDOWN(IF(AND(補助シート!BO$7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O$6=1,補助シート!$CC23="隊列"))),2,1)*ROUNDDOWN(HLOOKUP(補助シート!BO$6,味方隊列,MATCH($F27,味方技リスト,0)+1)*(IF(補助シート!$AV23="物理",補助シート!BO23,IF(補助シート!$AV23="魔",補助シート!BO57,VLOOKUP($F27,味方技,3,0)))),0)),0)),0),0)),0),0)))))</f>
        <v>270</v>
      </c>
      <c r="AG27" s="210"/>
      <c r="AH27" s="209">
        <f ca="1">IF(OR($B27="",AH$19="",$F27=""),"",IF(補助シート!$CC23="会心",ROUNDDOWN(AZ11*121/128,0),IF(補助シート!$CC23="魔力",ROUNDDOWN(AY11*3*補助シート!BQ46,0),MAX(0,ROUNDDOWN(IF(補助シート!BQ$9="あり",0.5,1)*ROUNDDOWN(IF(補助シート!$AU23="なし",1,補助シート!BQ46)*(ROUNDDOWN(IF(AND(補助シート!BQ$9="大防御",NOT(補助シート!$AV46="高")),0.1,1)*ROUNDDOWN(IF(AND(補助シート!BQ$7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Q$6=1,補助シート!$CC23="隊列"))),2,1)*ROUNDDOWN(HLOOKUP(補助シート!BQ$6,味方隊列,MATCH($F27,味方技リスト,0)+1)*(IF(補助シート!$AV23="物理",補助シート!BQ23,IF(補助シート!$AV23="魔",補助シート!BQ57,VLOOKUP($F27,味方技,2,0)))),0)),0)),0),0)),0),0)))))</f>
        <v>336</v>
      </c>
      <c r="AI27" s="210"/>
      <c r="AJ27" s="209">
        <f ca="1">IF(OR($B27="",AH$19="",$F27=""),"",IF(補助シート!$CC23="会心",ROUNDDOWN(AZ11*134/128,0),IF(補助シート!$CC23="魔力",ROUNDDOWN(AY11*3*補助シート!BQ46,0),MAX(IF(補助シート!$AU23="なし",1,0),ROUNDDOWN(IF(補助シート!BS$9="あり",0.5,1)*ROUNDDOWN(IF(補助シート!$AU23="なし",1,補助シート!BS46)*(ROUNDDOWN(IF(AND(補助シート!BS$9="大防御",NOT(補助シート!$AV46="高")),0.1,1)*ROUNDDOWN(IF(AND(補助シート!BS$7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S$6=1,補助シート!$CC23="隊列"))),2,1)*ROUNDDOWN(HLOOKUP(補助シート!BS$6,味方隊列,MATCH($F27,味方技リスト,0)+1)*(IF(補助シート!$AV23="物理",補助シート!BS23,IF(補助シート!$AV23="魔",補助シート!BS57,VLOOKUP($F27,味方技,3,0)))),0)),0)),0),0)),0),0)))))</f>
        <v>480</v>
      </c>
      <c r="AK27" s="210"/>
      <c r="AL27" s="209">
        <f ca="1">IF(OR($B27="",AL$19="",$F27=""),"",IF(補助シート!$CC23="会心",ROUNDDOWN(BD11*121/128,0),IF(補助シート!$CC23="魔力",ROUNDDOWN(BC11*3*補助シート!BU46,0),MAX(0,ROUNDDOWN(IF(補助シート!BU$9="あり",0.5,1)*ROUNDDOWN(IF(補助シート!$AU23="なし",1,補助シート!BU46)*(ROUNDDOWN(IF(AND(補助シート!BU$9="大防御",NOT(補助シート!$AV46="高")),0.1,1)*ROUNDDOWN(IF(AND(補助シート!BU$7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U$6=1,補助シート!$CC23="隊列"))),2,1)*ROUNDDOWN(HLOOKUP(補助シート!BU$6,味方隊列,MATCH($F27,味方技リスト,0)+1)*(IF(補助シート!$AV23="物理",補助シート!BU23,IF(補助シート!$AV23="魔",補助シート!BU57,VLOOKUP($F27,味方技,2,0)))),0)),0)),0),0)),0),0)))))</f>
        <v>336</v>
      </c>
      <c r="AM27" s="210"/>
      <c r="AN27" s="209">
        <f ca="1">IF(OR($B27="",AL$19="",$F27=""),"",IF(補助シート!$CC23="会心",ROUNDDOWN(BD11*134/128,0),IF(補助シート!$CC23="魔力",ROUNDDOWN(BC11*3*補助シート!BU46,0),MAX(IF(補助シート!$AU23="なし",1,0),ROUNDDOWN(IF(補助シート!BW$9="あり",0.5,1)*ROUNDDOWN(IF(補助シート!$AU23="なし",1,補助シート!BW46)*(ROUNDDOWN(IF(AND(補助シート!BW$9="大防御",NOT(補助シート!$AV46="高")),0.1,1)*ROUNDDOWN(IF(AND(補助シート!BW$7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BW$6=1,補助シート!$CC23="隊列"))),2,1)*ROUNDDOWN(HLOOKUP(補助シート!BW$6,味方隊列,MATCH($F27,味方技リスト,0)+1)*(IF(補助シート!$AV23="物理",補助シート!BW23,IF(補助シート!$AV23="魔",補助シート!BW57,VLOOKUP($F27,味方技,3,0)))),0)),0)),0),0)),0),0)))))</f>
        <v>480</v>
      </c>
      <c r="AO27" s="210"/>
      <c r="AP27" s="209">
        <f ca="1">IF(OR($B27="",AP$19="",$F27=""),"",IF(補助シート!$CC23="会心",ROUNDDOWN(BH11*121/128,0),IF(補助シート!$CC23="魔力",ROUNDDOWN(BG11*3*補助シート!BY46,0),MAX(0,ROUNDDOWN(IF(補助シート!BY$9="あり",0.5,1)*ROUNDDOWN(IF(補助シート!$AU23="なし",1,補助シート!BY46)*(ROUNDDOWN(IF(AND(補助シート!BY$9="大防御",NOT(補助シート!$AV46="高")),0.1,1)*ROUNDDOWN(IF(AND(補助シート!BY$7="あり",OR(補助シート!$AU23="炎",補助シート!$AU23="雪")),0.5,1)*(ROUNDDOWN(IF(AND(OR(補助シート!$AV23="物理",補助シート!$AV23="魔"),$L27="あり",NOT(補助シート!$CC23="倍無")),補助シート!$F$49,1)*(IF(AND(OR(補助シート!$AV23="物理",補助シート!$AV23="魔"),$J27="あり",NOT(補助シート!$CC23="倍無"),OR(NOT(補助シート!$CC23="隊列"),AND(補助シート!BY$6=1,補助シート!$CC23="隊列"))),2,1)*ROUNDDOWN(HLOOKUP(補助シート!BY$6,味方隊列,MATCH($F27,味方技リスト,0)+1)*(IF(補助シート!$AV23="物理",補助シート!BY23,IF(補助シート!$AV23="魔",補助シート!BY57,VLOOKUP($F27,味方技,2,0)))),0)),0)),0),0)),0),0)))))</f>
        <v>336</v>
      </c>
      <c r="AQ27" s="210"/>
      <c r="AR27" s="209">
        <f ca="1">IF(OR($B27="",AP$19="",$F27=""),"",IF(補助シート!$CC23="会心",ROUNDDOWN(BH11*134/128,0),IF(補助シート!$CC23="魔力",ROUNDDOWN(BG11*3*補助シート!BY46,0),MAX(IF(補助シート!$AU23="なし",1,0),ROUNDDOWN(IF(補助シート!CA$9="あり",0.5,1)*ROUNDDOWN(IF(補助シート!$AU23="なし",1,補助シート!CA46)*(ROUNDDOWN(IF(AND(補助シート!CA$9="大防御",NOT(補助シート!$AV46="高")),0.1,1)*ROUNDDOWN(IF(AND(補助シート!CA$7="あり",OR(補助シート!$AU23="炎",補助シート!$AU23="雪")),0.5,1)*(ROUNDDOWN(IF(AND(OR(補助シート!$AV23="物理",補助シート!$AV23="魔"),$L27="あり",NOT(補助シート!$CC23="倍無")),補助シート!$F$50,1)*(IF(AND(OR(補助シート!$AV23="物理",補助シート!$AV23="魔"),$J27="あり",NOT(補助シート!$CC23="倍無"),OR(NOT(補助シート!$CC23="隊列"),AND(補助シート!CA$6=1,補助シート!$CC23="隊列"))),2,1)*ROUNDDOWN(HLOOKUP(補助シート!CA$6,味方隊列,MATCH($F27,味方技リスト,0)+1)*(IF(補助シート!$AV23="物理",補助シート!CA23,IF(補助シート!$AV23="魔",補助シート!CA57,VLOOKUP($F27,味方技,3,0)))),0)),0)),0),0)),0),0)))))</f>
        <v>480</v>
      </c>
      <c r="AS27" s="210"/>
      <c r="AT27" s="64"/>
      <c r="AU27" s="72"/>
    </row>
    <row r="28" spans="1:47" ht="3.75" customHeight="1" x14ac:dyDescent="0.15">
      <c r="A28" s="89"/>
      <c r="B28" s="88"/>
      <c r="C28" s="64"/>
      <c r="D28" s="64"/>
      <c r="E28" s="64"/>
      <c r="F28" s="64"/>
      <c r="G28" s="64"/>
      <c r="H28" s="64"/>
      <c r="I28" s="64"/>
      <c r="J28" s="64"/>
      <c r="K28" s="64"/>
      <c r="L28" s="64"/>
      <c r="M28" s="64"/>
      <c r="N28" s="64"/>
      <c r="O28" s="64"/>
      <c r="P28" s="64"/>
      <c r="Q28" s="64"/>
      <c r="R28" s="64"/>
      <c r="S28" s="64"/>
      <c r="T28" s="64"/>
      <c r="U28" s="64"/>
      <c r="V28" s="75"/>
      <c r="W28" s="75"/>
      <c r="X28" s="75"/>
      <c r="Y28" s="75"/>
      <c r="Z28" s="75"/>
      <c r="AA28" s="75"/>
      <c r="AB28" s="75"/>
      <c r="AC28" s="75"/>
      <c r="AD28" s="75"/>
      <c r="AE28" s="75"/>
      <c r="AF28" s="75"/>
      <c r="AG28" s="75"/>
      <c r="AH28" s="64"/>
      <c r="AI28" s="64"/>
      <c r="AJ28" s="64"/>
      <c r="AK28" s="64"/>
      <c r="AL28" s="64"/>
      <c r="AM28" s="64"/>
      <c r="AN28" s="64"/>
      <c r="AO28" s="64"/>
      <c r="AP28" s="64"/>
      <c r="AQ28" s="64"/>
      <c r="AR28" s="64"/>
      <c r="AS28" s="64"/>
      <c r="AT28" s="64"/>
      <c r="AU28" s="72"/>
    </row>
    <row r="29" spans="1:47" ht="11.25" customHeight="1" x14ac:dyDescent="0.15">
      <c r="A29" s="70"/>
      <c r="B29" s="225" t="s">
        <v>480</v>
      </c>
      <c r="C29" s="226"/>
      <c r="D29" s="226"/>
      <c r="E29" s="226"/>
      <c r="F29" s="226"/>
      <c r="G29" s="226"/>
      <c r="H29" s="226"/>
      <c r="I29" s="227"/>
      <c r="J29" s="118"/>
      <c r="K29" s="118"/>
      <c r="L29" s="118"/>
      <c r="M29" s="119"/>
      <c r="N29" s="175" t="s">
        <v>470</v>
      </c>
      <c r="O29" s="182"/>
      <c r="P29" s="207">
        <v>3</v>
      </c>
      <c r="Q29" s="208"/>
      <c r="R29" s="182" t="s">
        <v>470</v>
      </c>
      <c r="S29" s="182"/>
      <c r="T29" s="207">
        <v>2</v>
      </c>
      <c r="U29" s="208"/>
      <c r="V29" s="182" t="s">
        <v>470</v>
      </c>
      <c r="W29" s="182"/>
      <c r="X29" s="207">
        <v>1</v>
      </c>
      <c r="Y29" s="208"/>
      <c r="Z29" s="182" t="s">
        <v>470</v>
      </c>
      <c r="AA29" s="182"/>
      <c r="AB29" s="207">
        <v>3</v>
      </c>
      <c r="AC29" s="208"/>
      <c r="AD29" s="182" t="s">
        <v>470</v>
      </c>
      <c r="AE29" s="182"/>
      <c r="AF29" s="207">
        <v>4</v>
      </c>
      <c r="AG29" s="208"/>
      <c r="AH29" s="182" t="s">
        <v>470</v>
      </c>
      <c r="AI29" s="182"/>
      <c r="AJ29" s="207">
        <v>1</v>
      </c>
      <c r="AK29" s="208"/>
      <c r="AL29" s="182" t="s">
        <v>470</v>
      </c>
      <c r="AM29" s="182"/>
      <c r="AN29" s="207">
        <v>4</v>
      </c>
      <c r="AO29" s="208"/>
      <c r="AP29" s="182" t="s">
        <v>470</v>
      </c>
      <c r="AQ29" s="182"/>
      <c r="AR29" s="207">
        <v>1</v>
      </c>
      <c r="AS29" s="208"/>
      <c r="AT29" s="64"/>
      <c r="AU29" s="72"/>
    </row>
    <row r="30" spans="1:47" ht="11.25" customHeight="1" x14ac:dyDescent="0.15">
      <c r="A30" s="70"/>
      <c r="B30" s="228"/>
      <c r="C30" s="229"/>
      <c r="D30" s="229"/>
      <c r="E30" s="229"/>
      <c r="F30" s="229"/>
      <c r="G30" s="229"/>
      <c r="H30" s="229"/>
      <c r="I30" s="230"/>
      <c r="J30" s="120"/>
      <c r="K30" s="175" t="s">
        <v>670</v>
      </c>
      <c r="L30" s="176"/>
      <c r="M30" s="121"/>
      <c r="N30" s="175" t="s">
        <v>587</v>
      </c>
      <c r="O30" s="182"/>
      <c r="P30" s="180" t="s">
        <v>466</v>
      </c>
      <c r="Q30" s="181"/>
      <c r="R30" s="175" t="s">
        <v>587</v>
      </c>
      <c r="S30" s="182"/>
      <c r="T30" s="180" t="s">
        <v>466</v>
      </c>
      <c r="U30" s="181"/>
      <c r="V30" s="175" t="s">
        <v>587</v>
      </c>
      <c r="W30" s="176"/>
      <c r="X30" s="180" t="s">
        <v>466</v>
      </c>
      <c r="Y30" s="181"/>
      <c r="Z30" s="175" t="s">
        <v>587</v>
      </c>
      <c r="AA30" s="176"/>
      <c r="AB30" s="180" t="s">
        <v>466</v>
      </c>
      <c r="AC30" s="181"/>
      <c r="AD30" s="175" t="s">
        <v>587</v>
      </c>
      <c r="AE30" s="176"/>
      <c r="AF30" s="180" t="s">
        <v>466</v>
      </c>
      <c r="AG30" s="181"/>
      <c r="AH30" s="175" t="s">
        <v>587</v>
      </c>
      <c r="AI30" s="176"/>
      <c r="AJ30" s="180" t="s">
        <v>466</v>
      </c>
      <c r="AK30" s="181"/>
      <c r="AL30" s="175" t="s">
        <v>587</v>
      </c>
      <c r="AM30" s="176"/>
      <c r="AN30" s="180" t="s">
        <v>466</v>
      </c>
      <c r="AO30" s="181"/>
      <c r="AP30" s="175" t="s">
        <v>587</v>
      </c>
      <c r="AQ30" s="176"/>
      <c r="AR30" s="180" t="s">
        <v>466</v>
      </c>
      <c r="AS30" s="181"/>
      <c r="AT30" s="64"/>
      <c r="AU30" s="72"/>
    </row>
    <row r="31" spans="1:47" ht="11.25" customHeight="1" x14ac:dyDescent="0.15">
      <c r="A31" s="70"/>
      <c r="B31" s="228"/>
      <c r="C31" s="229"/>
      <c r="D31" s="229"/>
      <c r="E31" s="229"/>
      <c r="F31" s="229"/>
      <c r="G31" s="229"/>
      <c r="H31" s="229"/>
      <c r="I31" s="230"/>
      <c r="J31" s="120"/>
      <c r="K31" s="223">
        <v>1</v>
      </c>
      <c r="L31" s="224"/>
      <c r="M31" s="121"/>
      <c r="N31" s="175" t="s">
        <v>475</v>
      </c>
      <c r="O31" s="182"/>
      <c r="P31" s="180" t="s">
        <v>466</v>
      </c>
      <c r="Q31" s="181"/>
      <c r="R31" s="182" t="s">
        <v>475</v>
      </c>
      <c r="S31" s="176"/>
      <c r="T31" s="180" t="s">
        <v>466</v>
      </c>
      <c r="U31" s="181"/>
      <c r="V31" s="182" t="s">
        <v>475</v>
      </c>
      <c r="W31" s="176"/>
      <c r="X31" s="180" t="s">
        <v>466</v>
      </c>
      <c r="Y31" s="181"/>
      <c r="Z31" s="182" t="s">
        <v>475</v>
      </c>
      <c r="AA31" s="176"/>
      <c r="AB31" s="180" t="s">
        <v>466</v>
      </c>
      <c r="AC31" s="181"/>
      <c r="AD31" s="182" t="s">
        <v>475</v>
      </c>
      <c r="AE31" s="176"/>
      <c r="AF31" s="180" t="s">
        <v>466</v>
      </c>
      <c r="AG31" s="181"/>
      <c r="AH31" s="182" t="s">
        <v>475</v>
      </c>
      <c r="AI31" s="176"/>
      <c r="AJ31" s="180" t="s">
        <v>466</v>
      </c>
      <c r="AK31" s="181"/>
      <c r="AL31" s="182" t="s">
        <v>475</v>
      </c>
      <c r="AM31" s="176"/>
      <c r="AN31" s="180" t="s">
        <v>466</v>
      </c>
      <c r="AO31" s="181"/>
      <c r="AP31" s="182" t="s">
        <v>475</v>
      </c>
      <c r="AQ31" s="176"/>
      <c r="AR31" s="180" t="s">
        <v>466</v>
      </c>
      <c r="AS31" s="181"/>
      <c r="AT31" s="64"/>
      <c r="AU31" s="72"/>
    </row>
    <row r="32" spans="1:47" ht="11.25" customHeight="1" x14ac:dyDescent="0.15">
      <c r="A32" s="70"/>
      <c r="B32" s="228"/>
      <c r="C32" s="229"/>
      <c r="D32" s="229"/>
      <c r="E32" s="229"/>
      <c r="F32" s="229"/>
      <c r="G32" s="229"/>
      <c r="H32" s="229"/>
      <c r="I32" s="230"/>
      <c r="J32" s="120"/>
      <c r="K32" s="175" t="s">
        <v>672</v>
      </c>
      <c r="L32" s="176"/>
      <c r="M32" s="121"/>
      <c r="N32" s="175" t="s">
        <v>476</v>
      </c>
      <c r="O32" s="182"/>
      <c r="P32" s="180" t="s">
        <v>466</v>
      </c>
      <c r="Q32" s="181"/>
      <c r="R32" s="182" t="s">
        <v>476</v>
      </c>
      <c r="S32" s="176"/>
      <c r="T32" s="180" t="s">
        <v>466</v>
      </c>
      <c r="U32" s="181"/>
      <c r="V32" s="182" t="s">
        <v>476</v>
      </c>
      <c r="W32" s="176"/>
      <c r="X32" s="180" t="s">
        <v>466</v>
      </c>
      <c r="Y32" s="181"/>
      <c r="Z32" s="182" t="s">
        <v>476</v>
      </c>
      <c r="AA32" s="176"/>
      <c r="AB32" s="180" t="s">
        <v>466</v>
      </c>
      <c r="AC32" s="181"/>
      <c r="AD32" s="182" t="s">
        <v>476</v>
      </c>
      <c r="AE32" s="176"/>
      <c r="AF32" s="180" t="s">
        <v>466</v>
      </c>
      <c r="AG32" s="181"/>
      <c r="AH32" s="182" t="s">
        <v>476</v>
      </c>
      <c r="AI32" s="176"/>
      <c r="AJ32" s="180" t="s">
        <v>466</v>
      </c>
      <c r="AK32" s="181"/>
      <c r="AL32" s="182" t="s">
        <v>476</v>
      </c>
      <c r="AM32" s="176"/>
      <c r="AN32" s="180" t="s">
        <v>466</v>
      </c>
      <c r="AO32" s="181"/>
      <c r="AP32" s="182" t="s">
        <v>476</v>
      </c>
      <c r="AQ32" s="176"/>
      <c r="AR32" s="180" t="s">
        <v>466</v>
      </c>
      <c r="AS32" s="181"/>
      <c r="AT32" s="64"/>
      <c r="AU32" s="72"/>
    </row>
    <row r="33" spans="1:47" ht="11.25" customHeight="1" x14ac:dyDescent="0.15">
      <c r="A33" s="70"/>
      <c r="B33" s="228"/>
      <c r="C33" s="229"/>
      <c r="D33" s="229"/>
      <c r="E33" s="229"/>
      <c r="F33" s="229"/>
      <c r="G33" s="229"/>
      <c r="H33" s="229"/>
      <c r="I33" s="230"/>
      <c r="J33" s="120"/>
      <c r="K33" s="223" t="s">
        <v>466</v>
      </c>
      <c r="L33" s="224"/>
      <c r="M33" s="121"/>
      <c r="N33" s="175" t="s">
        <v>569</v>
      </c>
      <c r="O33" s="176"/>
      <c r="P33" s="180">
        <v>0</v>
      </c>
      <c r="Q33" s="181"/>
      <c r="R33" s="175" t="s">
        <v>569</v>
      </c>
      <c r="S33" s="176"/>
      <c r="T33" s="180">
        <v>0</v>
      </c>
      <c r="U33" s="181"/>
      <c r="V33" s="175" t="s">
        <v>569</v>
      </c>
      <c r="W33" s="176"/>
      <c r="X33" s="177">
        <v>0</v>
      </c>
      <c r="Y33" s="178"/>
      <c r="Z33" s="175" t="s">
        <v>569</v>
      </c>
      <c r="AA33" s="176"/>
      <c r="AB33" s="177">
        <v>0</v>
      </c>
      <c r="AC33" s="178"/>
      <c r="AD33" s="175" t="s">
        <v>569</v>
      </c>
      <c r="AE33" s="176"/>
      <c r="AF33" s="177">
        <v>0</v>
      </c>
      <c r="AG33" s="178"/>
      <c r="AH33" s="175" t="s">
        <v>569</v>
      </c>
      <c r="AI33" s="176"/>
      <c r="AJ33" s="177">
        <v>0</v>
      </c>
      <c r="AK33" s="178"/>
      <c r="AL33" s="175" t="s">
        <v>569</v>
      </c>
      <c r="AM33" s="176"/>
      <c r="AN33" s="177">
        <v>0</v>
      </c>
      <c r="AO33" s="178"/>
      <c r="AP33" s="175" t="s">
        <v>569</v>
      </c>
      <c r="AQ33" s="176"/>
      <c r="AR33" s="177">
        <v>0</v>
      </c>
      <c r="AS33" s="178"/>
      <c r="AT33" s="64"/>
      <c r="AU33" s="72"/>
    </row>
    <row r="34" spans="1:47" ht="11.25" customHeight="1" x14ac:dyDescent="0.15">
      <c r="A34" s="70"/>
      <c r="B34" s="231"/>
      <c r="C34" s="232"/>
      <c r="D34" s="232"/>
      <c r="E34" s="232"/>
      <c r="F34" s="232"/>
      <c r="G34" s="232"/>
      <c r="H34" s="232"/>
      <c r="I34" s="233"/>
      <c r="J34" s="122"/>
      <c r="K34" s="122"/>
      <c r="L34" s="122"/>
      <c r="M34" s="123"/>
      <c r="N34" s="175" t="s">
        <v>570</v>
      </c>
      <c r="O34" s="182"/>
      <c r="P34" s="177">
        <v>0</v>
      </c>
      <c r="Q34" s="178"/>
      <c r="R34" s="175" t="s">
        <v>570</v>
      </c>
      <c r="S34" s="182"/>
      <c r="T34" s="177">
        <v>0</v>
      </c>
      <c r="U34" s="178"/>
      <c r="V34" s="175" t="s">
        <v>570</v>
      </c>
      <c r="W34" s="182"/>
      <c r="X34" s="177">
        <v>0</v>
      </c>
      <c r="Y34" s="178"/>
      <c r="Z34" s="175" t="s">
        <v>570</v>
      </c>
      <c r="AA34" s="182"/>
      <c r="AB34" s="177">
        <v>0</v>
      </c>
      <c r="AC34" s="178"/>
      <c r="AD34" s="175" t="s">
        <v>570</v>
      </c>
      <c r="AE34" s="182"/>
      <c r="AF34" s="177">
        <v>0</v>
      </c>
      <c r="AG34" s="178"/>
      <c r="AH34" s="175" t="s">
        <v>570</v>
      </c>
      <c r="AI34" s="182"/>
      <c r="AJ34" s="177">
        <v>0</v>
      </c>
      <c r="AK34" s="178"/>
      <c r="AL34" s="175" t="s">
        <v>570</v>
      </c>
      <c r="AM34" s="182"/>
      <c r="AN34" s="177">
        <v>0</v>
      </c>
      <c r="AO34" s="178"/>
      <c r="AP34" s="175" t="s">
        <v>570</v>
      </c>
      <c r="AQ34" s="182"/>
      <c r="AR34" s="177">
        <v>0</v>
      </c>
      <c r="AS34" s="178"/>
      <c r="AT34" s="64"/>
      <c r="AU34" s="72"/>
    </row>
    <row r="35" spans="1:47" x14ac:dyDescent="0.15">
      <c r="A35" s="70"/>
      <c r="B35" s="179" t="s">
        <v>449</v>
      </c>
      <c r="C35" s="179"/>
      <c r="D35" s="179"/>
      <c r="E35" s="179"/>
      <c r="F35" s="175" t="s">
        <v>469</v>
      </c>
      <c r="G35" s="182"/>
      <c r="H35" s="182"/>
      <c r="I35" s="176"/>
      <c r="J35" s="179" t="s">
        <v>477</v>
      </c>
      <c r="K35" s="179"/>
      <c r="L35" s="179" t="s">
        <v>649</v>
      </c>
      <c r="M35" s="179"/>
      <c r="N35" s="204" t="str">
        <f ca="1">AA4</f>
        <v>主人公</v>
      </c>
      <c r="O35" s="205"/>
      <c r="P35" s="205"/>
      <c r="Q35" s="206"/>
      <c r="R35" s="203" t="str">
        <f ca="1">AA5</f>
        <v>ハッサン</v>
      </c>
      <c r="S35" s="203"/>
      <c r="T35" s="203"/>
      <c r="U35" s="203"/>
      <c r="V35" s="203" t="str">
        <f ca="1">AA6</f>
        <v>ミレーユ</v>
      </c>
      <c r="W35" s="203"/>
      <c r="X35" s="203"/>
      <c r="Y35" s="203"/>
      <c r="Z35" s="203" t="str">
        <f ca="1">AA7</f>
        <v>バーバラ</v>
      </c>
      <c r="AA35" s="203"/>
      <c r="AB35" s="203"/>
      <c r="AC35" s="203"/>
      <c r="AD35" s="203" t="str">
        <f ca="1">AA8</f>
        <v>チャモロ</v>
      </c>
      <c r="AE35" s="203"/>
      <c r="AF35" s="203"/>
      <c r="AG35" s="203"/>
      <c r="AH35" s="203" t="str">
        <f ca="1">B25</f>
        <v>アモス</v>
      </c>
      <c r="AI35" s="203"/>
      <c r="AJ35" s="203"/>
      <c r="AK35" s="203"/>
      <c r="AL35" s="203" t="str">
        <f ca="1">B26</f>
        <v>テリー</v>
      </c>
      <c r="AM35" s="203"/>
      <c r="AN35" s="203"/>
      <c r="AO35" s="203"/>
      <c r="AP35" s="203" t="str">
        <f ca="1">B27</f>
        <v>ドランゴ</v>
      </c>
      <c r="AQ35" s="203"/>
      <c r="AR35" s="203"/>
      <c r="AS35" s="203"/>
      <c r="AT35" s="64"/>
      <c r="AU35" s="72"/>
    </row>
    <row r="36" spans="1:47" x14ac:dyDescent="0.15">
      <c r="A36" s="70"/>
      <c r="B36" s="196" t="str">
        <f ca="1">B4</f>
        <v>デスタムーア3</v>
      </c>
      <c r="C36" s="197"/>
      <c r="D36" s="197"/>
      <c r="E36" s="200"/>
      <c r="F36" s="211" t="s">
        <v>512</v>
      </c>
      <c r="G36" s="212"/>
      <c r="H36" s="212"/>
      <c r="I36" s="213"/>
      <c r="J36" s="217" t="s">
        <v>466</v>
      </c>
      <c r="K36" s="218"/>
      <c r="L36" s="217" t="s">
        <v>466</v>
      </c>
      <c r="M36" s="218"/>
      <c r="N36" s="198">
        <f ca="1">IF(OR($B36="",N$35="",$F36=""),"",IF($K$33="あり",IF(補助シート!$AR16="全体",$K$31,IF(補助シート!$AR16="３回",3,1)),1)*IF(AND(NOT(補助シート!$AQ16="回転"),NOT(補助シート!$I50="念"),NOT(補助シート!$I50="叩"),NOT(補助シート!$J50="燃"),NOT(補助シート!$J50="凍")),MAX(0,ROUNDDOWN(IF(補助シート!K$9="あり",0.5,1)*ROUNDDOWN(IF(補助シート!$I16="なし",1,補助シート!K39)*(ROUNDDOWN(IF(AND(補助シート!K$9="大防御",NOT(補助シート!$J39="高")),0.1,1)*ROUNDDOWN(IF(AND(補助シート!K$7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K$6=1,補助シート!$AQ16="隊列"))),2,1)*ROUNDDOWN(HLOOKUP(補助シート!K$6,敵隊列,MATCH($F36,敵技リスト,0)+1)*(IF(補助シート!$J16="物理",補助シート!K16,IF(補助シート!$J16="魔",補助シート!K84,VLOOKUP($F36,敵技,2,0)))),0)),0)),0)-IF(OR(補助シート!$J16="魔",補助シート!$I16="なし",補助シート!$I16="念",補助シート!$I16="叩"),0,HLOOKUP(補助シート!$I16,味方耐性,補助シート!K$12,0)),0)),0),0)),IF(OR(補助シート!$I50="念",補助シート!$I50="叩"),補助シート!K50,IF(OR(補助シート!$J50="燃",補助シート!$J50="凍"),補助シート!K62,ROUNDDOWN(補助シート!K16*VLOOKUP($F36,敵技,7+$K$31,0),0)))))</f>
        <v>120</v>
      </c>
      <c r="O36" s="199"/>
      <c r="P36" s="198">
        <f ca="1">IF(OR($B36="",N$35="",$F36=""),"",IF($K$33="あり",IF(補助シート!$AR16="全体",$K$31,IF(補助シート!$AR16="３回",3,1)),1)*IF(AND(NOT(補助シート!$AQ16="回転"),NOT(補助シート!$I50="念"),NOT(補助シート!$I50="叩"),NOT(補助シート!$J50="燃"),NOT(補助シート!$J50="凍")),MAX(IF(補助シート!$I18="なし",1,0),ROUNDDOWN(IF(補助シート!M$9="あり",0.5,1)*ROUNDDOWN(IF(補助シート!$I16="なし",1,補助シート!M39)*(ROUNDDOWN(IF(AND(補助シート!M$9="大防御",NOT(補助シート!$J39="高")),0.1,1)*ROUNDDOWN(IF(AND(補助シート!K$7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M$6=1,補助シート!$AQ16="隊列"))),2,1)*ROUNDDOWN(HLOOKUP(補助シート!M$6,敵隊列,MATCH($F36,敵技リスト,0)+1)*(IF(補助シート!$J16="物理",補助シート!M16,IF(補助シート!$J16="魔",補助シート!M84,VLOOKUP($F36,敵技,3,0)))),0)),0)),0)-IF(OR(補助シート!$J16="魔",補助シート!$I16="なし",補助シート!$I16="念",補助シート!$I16="叩"),0,HLOOKUP(補助シート!$I16,味方耐性,補助シート!M$12,0)),0)),0),0)),IF(OR(補助シート!$I50="念",補助シート!$I50="叩"),補助シート!M50,IF(OR(補助シート!$J50="燃",補助シート!$J50="凍"),補助シート!M62,ROUNDDOWN(補助シート!M16*VLOOKUP($F36,敵技,7+$K$31,0),0)))))</f>
        <v>150</v>
      </c>
      <c r="Q36" s="199"/>
      <c r="R36" s="198">
        <f ca="1">IF(OR($B36="",R$35="",$F36=""),"",IF($K$33="あり",IF(補助シート!$AR16="全体",$K$31,IF(補助シート!$AR16="３回",3,1)),1)*IF(AND(NOT(補助シート!$AQ16="回転"),NOT(補助シート!$I50="念"),NOT(補助シート!$I50="叩"),NOT(補助シート!$J50="燃"),NOT(補助シート!$J50="凍")),MAX(0,ROUNDDOWN(IF(補助シート!O$9="あり",0.5,1)*ROUNDDOWN(IF(補助シート!$I16="なし",1,補助シート!O39)*(ROUNDDOWN(IF(AND(補助シート!O$9="大防御",NOT(補助シート!$J39="高")),0.1,1)*ROUNDDOWN(IF(AND(補助シート!O$7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O$6=1,補助シート!$AQ16="隊列"))),2,1)*ROUNDDOWN(HLOOKUP(補助シート!O$6,敵隊列,MATCH($F36,敵技リスト,0)+1)*(IF(補助シート!$J16="物理",補助シート!O16,IF(補助シート!$J16="魔",補助シート!O84,VLOOKUP($F36,敵技,2,0)))),0)),0)),0)-IF(OR(補助シート!$J16="魔",補助シート!$I16="なし",補助シート!$I16="念",補助シート!$I16="叩"),0,HLOOKUP(補助シート!$I16,味方耐性,補助シート!O$12,0)),0)),0),0)),IF(OR(補助シート!$I50="念",補助シート!$I50="叩"),補助シート!O50,IF(OR(補助シート!$J50="燃",補助シート!$J50="凍"),補助シート!O62,ROUNDDOWN(補助シート!O16*VLOOKUP($F36,敵技,7+$K$31,0),0)))))</f>
        <v>120</v>
      </c>
      <c r="S36" s="199"/>
      <c r="T36" s="198">
        <f ca="1">IF(OR($B36="",R$35="",$F36=""),"",IF($K$33="あり",IF(補助シート!$AR16="全体",$K$31,IF(補助シート!$AR16="３回",3,1)),1)*IF(AND(NOT(補助シート!$AQ16="回転"),NOT(補助シート!$I50="念"),NOT(補助シート!$I50="叩"),NOT(補助シート!$J50="燃"),NOT(補助シート!$J50="凍")),MAX(IF(補助シート!$I18="なし",1,0),ROUNDDOWN(IF(補助シート!Q$9="あり",0.5,1)*ROUNDDOWN(IF(補助シート!$I16="なし",1,補助シート!Q39)*(ROUNDDOWN(IF(AND(補助シート!Q$9="大防御",NOT(補助シート!$J39="高")),0.1,1)*ROUNDDOWN(IF(AND(補助シート!O$7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Q$6=1,補助シート!$AQ16="隊列"))),2,1)*ROUNDDOWN(HLOOKUP(補助シート!Q$6,敵隊列,MATCH($F36,敵技リスト,0)+1)*(IF(補助シート!$J16="物理",補助シート!Q16,IF(補助シート!$J16="魔",補助シート!Q84,VLOOKUP($F36,敵技,3,0)))),0)),0)),0)-IF(OR(補助シート!$J16="魔",補助シート!$I16="なし",補助シート!$I16="念",補助シート!$I16="叩"),0,HLOOKUP(補助シート!$I16,味方耐性,補助シート!Q$12,0)),0)),0),0)),IF(OR(補助シート!$I50="念",補助シート!$I50="叩"),補助シート!Q50,IF(OR(補助シート!$J50="燃",補助シート!$J50="凍"),補助シート!Q62,ROUNDDOWN(補助シート!Q16*VLOOKUP($F36,敵技,7+$K$31,0),0)))))</f>
        <v>150</v>
      </c>
      <c r="U36" s="199"/>
      <c r="V36" s="198">
        <f ca="1">IF(OR($B36="",V$35="",$F36=""),"",IF($K$33="あり",IF(補助シート!$AR16="全体",$K$31,IF(補助シート!$AR16="３回",3,1)),1)*IF(AND(NOT(補助シート!$AQ16="回転"),NOT(補助シート!$I50="念"),NOT(補助シート!$I50="叩"),NOT(補助シート!$J50="燃"),NOT(補助シート!$J50="凍")),MAX(0,ROUNDDOWN(IF(補助シート!S$9="あり",0.5,1)*ROUNDDOWN(IF(補助シート!$I16="なし",1,補助シート!S39)*(ROUNDDOWN(IF(AND(補助シート!S$9="大防御",NOT(補助シート!$J39="高")),0.1,1)*ROUNDDOWN(IF(AND(補助シート!S$7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S$6=1,補助シート!$AQ16="隊列"))),2,1)*ROUNDDOWN(HLOOKUP(補助シート!S$6,敵隊列,MATCH($F36,敵技リスト,0)+1)*(IF(補助シート!$J16="物理",補助シート!S16,IF(補助シート!$J16="魔",補助シート!S84,VLOOKUP($F36,敵技,2,0)))),0)),0)),0)-IF(OR(補助シート!$J16="魔",補助シート!$I16="なし",補助シート!$I16="念",補助シート!$I16="叩"),0,HLOOKUP(補助シート!$I16,味方耐性,補助シート!S$12,0)),0)),0),0)),IF(OR(補助シート!$I50="念",補助シート!$I50="叩"),補助シート!S50,IF(OR(補助シート!$J50="燃",補助シート!$J50="凍"),補助シート!S62,ROUNDDOWN(補助シート!S16*VLOOKUP($F36,敵技,7+$K$31,0),0)))))</f>
        <v>120</v>
      </c>
      <c r="W36" s="199"/>
      <c r="X36" s="198">
        <f ca="1">IF(OR($B36="",V$35="",$F36=""),"",IF($K$33="あり",IF(補助シート!$AR16="全体",$K$31,IF(補助シート!$AR16="３回",3,1)),1)*IF(AND(NOT(補助シート!$AQ16="回転"),NOT(補助シート!$I50="念"),NOT(補助シート!$I50="叩"),NOT(補助シート!$J50="燃"),NOT(補助シート!$J50="凍")),MAX(IF(補助シート!$I18="なし",1,0),ROUNDDOWN(IF(補助シート!U$9="あり",0.5,1)*ROUNDDOWN(IF(補助シート!$I16="なし",1,補助シート!U39)*(ROUNDDOWN(IF(AND(補助シート!U$9="大防御",NOT(補助シート!$J39="高")),0.1,1)*ROUNDDOWN(IF(AND(補助シート!S$7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U$6=1,補助シート!$AQ16="隊列"))),2,1)*ROUNDDOWN(HLOOKUP(補助シート!U$6,敵隊列,MATCH($F36,敵技リスト,0)+1)*(IF(補助シート!$J16="物理",補助シート!U16,IF(補助シート!$J16="魔",補助シート!U84,VLOOKUP($F36,敵技,3,0)))),0)),0)),0)-IF(OR(補助シート!$J16="魔",補助シート!$I16="なし",補助シート!$I16="念",補助シート!$I16="叩"),0,HLOOKUP(補助シート!$I16,味方耐性,補助シート!U$12,0)),0)),0),0)),IF(OR(補助シート!$I50="念",補助シート!$I50="叩"),補助シート!U50,IF(OR(補助シート!$J50="燃",補助シート!$J50="凍"),補助シート!U62,ROUNDDOWN(補助シート!U16*VLOOKUP($F36,敵技,7+$K$31,0),0)))))</f>
        <v>150</v>
      </c>
      <c r="Y36" s="199"/>
      <c r="Z36" s="198">
        <f ca="1">IF(OR($B36="",Z$35="",$F36=""),"",IF($K$33="あり",IF(補助シート!$AR16="全体",$K$31,IF(補助シート!$AR16="３回",3,1)),1)*IF(AND(NOT(補助シート!$AQ16="回転"),NOT(補助シート!$I50="念"),NOT(補助シート!$I50="叩"),NOT(補助シート!$J50="燃"),NOT(補助シート!$J50="凍")),MAX(0,ROUNDDOWN(IF(補助シート!W$9="あり",0.5,1)*ROUNDDOWN(IF(補助シート!$I16="なし",1,補助シート!W39)*(ROUNDDOWN(IF(AND(補助シート!W$9="大防御",NOT(補助シート!$J39="高")),0.1,1)*ROUNDDOWN(IF(AND(補助シート!W$7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W$6=1,補助シート!$AQ16="隊列"))),2,1)*ROUNDDOWN(HLOOKUP(補助シート!W$6,敵隊列,MATCH($F36,敵技リスト,0)+1)*(IF(補助シート!$J16="物理",補助シート!W16,IF(補助シート!$J16="魔",補助シート!W84,VLOOKUP($F36,敵技,2,0)))),0)),0)),0)-IF(OR(補助シート!$J16="魔",補助シート!$I16="なし",補助シート!$I16="念",補助シート!$I16="叩"),0,HLOOKUP(補助シート!$I16,味方耐性,補助シート!W$12,0)),0)),0),0)),IF(OR(補助シート!$I50="念",補助シート!$I50="叩"),補助シート!W50,IF(OR(補助シート!$J50="燃",補助シート!$J50="凍"),補助シート!W62,ROUNDDOWN(補助シート!W16*VLOOKUP($F36,敵技,7+$K$31,0),0)))))</f>
        <v>120</v>
      </c>
      <c r="AA36" s="199"/>
      <c r="AB36" s="198">
        <f ca="1">IF(OR($B36="",Z$35="",$F36=""),"",IF($K$33="あり",IF(補助シート!$AR16="全体",$K$31,IF(補助シート!$AR16="３回",3,1)),1)*IF(AND(NOT(補助シート!$AQ16="回転"),NOT(補助シート!$I50="念"),NOT(補助シート!$I50="叩"),NOT(補助シート!$J50="燃"),NOT(補助シート!$J50="凍")),MAX(IF(補助シート!$I18="なし",1,0),ROUNDDOWN(IF(補助シート!Y$9="あり",0.5,1)*ROUNDDOWN(IF(補助シート!$I16="なし",1,補助シート!Y39)*(ROUNDDOWN(IF(AND(補助シート!Y$9="大防御",NOT(補助シート!$J39="高")),0.1,1)*ROUNDDOWN(IF(AND(補助シート!W$7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Y$6=1,補助シート!$AQ16="隊列"))),2,1)*ROUNDDOWN(HLOOKUP(補助シート!Y$6,敵隊列,MATCH($F36,敵技リスト,0)+1)*(IF(補助シート!$J16="物理",補助シート!Y16,IF(補助シート!$J16="魔",補助シート!Y84,VLOOKUP($F36,敵技,3,0)))),0)),0)),0)-IF(OR(補助シート!$J16="魔",補助シート!$I16="なし",補助シート!$I16="念",補助シート!$I16="叩"),0,HLOOKUP(補助シート!$I16,味方耐性,補助シート!Y$12,0)),0)),0),0)),IF(OR(補助シート!$I50="念",補助シート!$I50="叩"),補助シート!Y50,IF(OR(補助シート!$J50="燃",補助シート!$J50="凍"),補助シート!Y62,ROUNDDOWN(補助シート!Y16*VLOOKUP($F36,敵技,7+$K$31,0),0)))))</f>
        <v>150</v>
      </c>
      <c r="AC36" s="199"/>
      <c r="AD36" s="198">
        <f ca="1">IF(OR($B36="",AD$35="",$F36=""),"",IF($K$33="あり",IF(補助シート!$AR16="全体",$K$31,IF(補助シート!$AR16="３回",3,1)),1)*IF(AND(NOT(補助シート!$AQ16="回転"),NOT(補助シート!$I50="念"),NOT(補助シート!$I50="叩"),NOT(補助シート!$J50="燃"),NOT(補助シート!$J50="凍")),MAX(0,ROUNDDOWN(IF(補助シート!AA$9="あり",0.5,1)*ROUNDDOWN(IF(補助シート!$I16="なし",1,補助シート!AA39)*(ROUNDDOWN(IF(AND(補助シート!AA$9="大防御",NOT(補助シート!$J39="高")),0.1,1)*ROUNDDOWN(IF(AND(補助シート!AA$7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AA$6=1,補助シート!$AQ16="隊列"))),2,1)*ROUNDDOWN(HLOOKUP(補助シート!AA$6,敵隊列,MATCH($F36,敵技リスト,0)+1)*(IF(補助シート!$J16="物理",補助シート!AA16,IF(補助シート!$J16="魔",補助シート!AA84,VLOOKUP($F36,敵技,2,0)))),0)),0)),0)-IF(OR(補助シート!$J16="魔",補助シート!$I16="なし",補助シート!$I16="念",補助シート!$I16="叩"),0,HLOOKUP(補助シート!$I16,味方耐性,補助シート!AA$12,0)),0)),0),0)),IF(OR(補助シート!$I50="念",補助シート!$I50="叩"),補助シート!AA50,IF(OR(補助シート!$J50="燃",補助シート!$J50="凍"),補助シート!AA62,ROUNDDOWN(補助シート!AA16*VLOOKUP($F36,敵技,7+$K$31,0),0)))))</f>
        <v>120</v>
      </c>
      <c r="AE36" s="199"/>
      <c r="AF36" s="198">
        <f ca="1">IF(OR($B36="",AD$35="",$F36=""),"",IF($K$33="あり",IF(補助シート!$AR16="全体",$K$31,IF(補助シート!$AR16="３回",3,1)),1)*IF(AND(NOT(補助シート!$AQ16="回転"),NOT(補助シート!$I50="念"),NOT(補助シート!$I50="叩"),NOT(補助シート!$J50="燃"),NOT(補助シート!$J50="凍")),MAX(IF(補助シート!$I18="なし",1,0),ROUNDDOWN(IF(補助シート!AC$9="あり",0.5,1)*ROUNDDOWN(IF(補助シート!$I16="なし",1,補助シート!AC39)*(ROUNDDOWN(IF(AND(補助シート!AC$9="大防御",NOT(補助シート!$J39="高")),0.1,1)*ROUNDDOWN(IF(AND(補助シート!AA$7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AC$6=1,補助シート!$AQ16="隊列"))),2,1)*ROUNDDOWN(HLOOKUP(補助シート!AC$6,敵隊列,MATCH($F36,敵技リスト,0)+1)*(IF(補助シート!$J16="物理",補助シート!AC16,IF(補助シート!$J16="魔",補助シート!AC84,VLOOKUP($F36,敵技,3,0)))),0)),0)),0)-IF(OR(補助シート!$J16="魔",補助シート!$I16="なし",補助シート!$I16="念",補助シート!$I16="叩"),0,HLOOKUP(補助シート!$I16,味方耐性,補助シート!AC$12,0)),0)),0),0)),IF(OR(補助シート!$I50="念",補助シート!$I50="叩"),補助シート!AC50,IF(OR(補助シート!$J50="燃",補助シート!$J50="凍"),補助シート!AC62,ROUNDDOWN(補助シート!AC16*VLOOKUP($F36,敵技,7+$K$31,0),0)))))</f>
        <v>150</v>
      </c>
      <c r="AG36" s="199"/>
      <c r="AH36" s="198">
        <f ca="1">IF(OR($B36="",AH$35="",$F36=""),"",IF($K$33="あり",IF(補助シート!$AR16="全体",$K$31,IF(補助シート!$AR16="３回",3,1)),1)*IF(AND(NOT(補助シート!$AQ16="回転"),NOT(補助シート!$I50="念"),NOT(補助シート!$I50="叩"),NOT(補助シート!$J50="燃"),NOT(補助シート!$J50="凍")),MAX(0,ROUNDDOWN(IF(補助シート!AE$9="あり",0.5,1)*ROUNDDOWN(IF(補助シート!$I16="なし",1,補助シート!AE39)*(ROUNDDOWN(IF(AND(補助シート!AE$9="大防御",NOT(補助シート!$J39="高")),0.1,1)*ROUNDDOWN(IF(AND(補助シート!AE$7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AE$6=1,補助シート!$AQ16="隊列"))),2,1)*ROUNDDOWN(HLOOKUP(補助シート!AE$6,敵隊列,MATCH($F36,敵技リスト,0)+1)*(IF(補助シート!$J16="物理",補助シート!AE16,IF(補助シート!$J16="魔",補助シート!AE84,VLOOKUP($F36,敵技,2,0)))),0)),0)),0)-IF(OR(補助シート!$J16="魔",補助シート!$I16="なし",補助シート!$I16="念",補助シート!$I16="叩"),0,HLOOKUP(補助シート!$I16,味方耐性,補助シート!AE$12,0)),0)),0),0)),IF(OR(補助シート!$I50="念",補助シート!$I50="叩"),補助シート!AE50,IF(OR(補助シート!$J50="燃",補助シート!$J50="凍"),補助シート!AE62,ROUNDDOWN(補助シート!AE16*VLOOKUP($F36,敵技,7+$K$31,0),0)))))</f>
        <v>120</v>
      </c>
      <c r="AI36" s="199"/>
      <c r="AJ36" s="198">
        <f ca="1">IF(OR($B36="",AH$35="",$F36=""),"",IF($K$33="あり",IF(補助シート!$AR16="全体",$K$31,IF(補助シート!$AR16="３回",3,1)),1)*IF(AND(NOT(補助シート!$AQ16="回転"),NOT(補助シート!$I50="念"),NOT(補助シート!$I50="叩"),NOT(補助シート!$J50="燃"),NOT(補助シート!$J50="凍")),MAX(IF(補助シート!$I18="なし",1,0),ROUNDDOWN(IF(補助シート!AG$9="あり",0.5,1)*ROUNDDOWN(IF(補助シート!$I16="なし",1,補助シート!AG39)*(ROUNDDOWN(IF(AND(補助シート!AG$9="大防御",NOT(補助シート!$J39="高")),0.1,1)*ROUNDDOWN(IF(AND(補助シート!AE$7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AG$6=1,補助シート!$AQ16="隊列"))),2,1)*ROUNDDOWN(HLOOKUP(補助シート!AG$6,敵隊列,MATCH($F36,敵技リスト,0)+1)*(IF(補助シート!$J16="物理",補助シート!AG16,IF(補助シート!$J16="魔",補助シート!AG84,VLOOKUP($F36,敵技,3,0)))),0)),0)),0)-IF(OR(補助シート!$J16="魔",補助シート!$I16="なし",補助シート!$I16="念",補助シート!$I16="叩"),0,HLOOKUP(補助シート!$I16,味方耐性,補助シート!AG$12,0)),0)),0),0)),IF(OR(補助シート!$I50="念",補助シート!$I50="叩"),補助シート!AG50,IF(OR(補助シート!$J50="燃",補助シート!$J50="凍"),補助シート!AG62,ROUNDDOWN(補助シート!AG16*VLOOKUP($F36,敵技,7+$K$31,0),0)))))</f>
        <v>150</v>
      </c>
      <c r="AK36" s="199"/>
      <c r="AL36" s="198">
        <f ca="1">IF(OR($B36="",AL$35="",$F36=""),"",IF($K$33="あり",IF(補助シート!$AR16="全体",$K$31,IF(補助シート!$AR16="３回",3,1)),1)*IF(AND(NOT(補助シート!$AQ16="回転"),NOT(補助シート!$I50="念"),NOT(補助シート!$I50="叩"),NOT(補助シート!$J50="燃"),NOT(補助シート!$J50="凍")),MAX(0,ROUNDDOWN(IF(補助シート!AI$9="あり",0.5,1)*ROUNDDOWN(IF(補助シート!$I16="なし",1,補助シート!AI39)*(ROUNDDOWN(IF(AND(補助シート!AI$9="大防御",NOT(補助シート!$J39="高")),0.1,1)*ROUNDDOWN(IF(AND(補助シート!AI$7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AI$6=1,補助シート!$AQ16="隊列"))),2,1)*ROUNDDOWN(HLOOKUP(補助シート!AI$6,敵隊列,MATCH($F36,敵技リスト,0)+1)*(IF(補助シート!$J16="物理",補助シート!AI16,IF(補助シート!$J16="魔",補助シート!AI84,VLOOKUP($F36,敵技,2,0)))),0)),0)),0)-IF(OR(補助シート!$J16="魔",補助シート!$I16="なし",補助シート!$I16="念",補助シート!$I16="叩"),0,HLOOKUP(補助シート!$I16,味方耐性,補助シート!AI$12,0)),0)),0),0)),IF(OR(補助シート!$I50="念",補助シート!$I50="叩"),補助シート!AI50,IF(OR(補助シート!$J50="燃",補助シート!$J50="凍"),補助シート!AI62,ROUNDDOWN(補助シート!AI16*VLOOKUP($F36,敵技,7+$K$31,0),0)))))</f>
        <v>120</v>
      </c>
      <c r="AM36" s="199"/>
      <c r="AN36" s="198">
        <f ca="1">IF(OR($B36="",AL$35="",$F36=""),"",IF($K$33="あり",IF(補助シート!$AR16="全体",$K$31,IF(補助シート!$AR16="３回",3,1)),1)*IF(AND(NOT(補助シート!$AQ16="回転"),NOT(補助シート!$I50="念"),NOT(補助シート!$I50="叩"),NOT(補助シート!$J50="燃"),NOT(補助シート!$J50="凍")),MAX(IF(補助シート!$I18="なし",1,0),ROUNDDOWN(IF(補助シート!AK$9="あり",0.5,1)*ROUNDDOWN(IF(補助シート!$I16="なし",1,補助シート!AK39)*(ROUNDDOWN(IF(AND(補助シート!AK$9="大防御",NOT(補助シート!$J39="高")),0.1,1)*ROUNDDOWN(IF(AND(補助シート!AI$7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AK$6=1,補助シート!$AQ16="隊列"))),2,1)*ROUNDDOWN(HLOOKUP(補助シート!AK$6,敵隊列,MATCH($F36,敵技リスト,0)+1)*(IF(補助シート!$J16="物理",補助シート!AK16,IF(補助シート!$J16="魔",補助シート!AK84,VLOOKUP($F36,敵技,3,0)))),0)),0)),0)-IF(OR(補助シート!$J16="魔",補助シート!$I16="なし",補助シート!$I16="念",補助シート!$I16="叩"),0,HLOOKUP(補助シート!$I16,味方耐性,補助シート!AK$12,0)),0)),0),0)),IF(OR(補助シート!$I50="念",補助シート!$I50="叩"),補助シート!AK50,IF(OR(補助シート!$J50="燃",補助シート!$J50="凍"),補助シート!AK62,ROUNDDOWN(補助シート!AK16*VLOOKUP($F36,敵技,7+$K$31,0),0)))))</f>
        <v>150</v>
      </c>
      <c r="AO36" s="199"/>
      <c r="AP36" s="198">
        <f ca="1">IF(OR($B36="",AP$35="",$F36=""),"",IF($K$33="あり",IF(補助シート!$AR16="全体",$K$31,IF(補助シート!$AR16="３回",3,1)),1)*IF(AND(NOT(補助シート!$AQ16="回転"),NOT(補助シート!$I50="念"),NOT(補助シート!$I50="叩"),NOT(補助シート!$J50="燃"),NOT(補助シート!$J50="凍")),MAX(0,ROUNDDOWN(IF(補助シート!AM$9="あり",0.5,1)*ROUNDDOWN(IF(補助シート!$I16="なし",1,補助シート!AM39)*(ROUNDDOWN(IF(AND(補助シート!AM$9="大防御",NOT(補助シート!$J39="高")),0.1,1)*ROUNDDOWN(IF(AND(補助シート!AM$7="あり",OR(補助シート!$I16="炎",補助シート!$I16="雪")),0.5,1)*(ROUNDDOWN(IF(AND(OR(補助シート!$J16="物理",補助シート!$J16="魔"),$L36="あり",NOT(補助シート!$AQ16="倍無")),補助シート!$F$45,1)*(IF(AND(OR(補助シート!$J16="物理",補助シート!$J16="魔"),$J36="あり",NOT(補助シート!$AQ16="倍無"),OR(NOT(補助シート!$AQ16="隊列"),AND(補助シート!AM$6=1,補助シート!$AQ16="隊列"))),2,1)*ROUNDDOWN(HLOOKUP(補助シート!AM$6,敵隊列,MATCH($F36,敵技リスト,0)+1)*(IF(補助シート!$J16="物理",補助シート!AM16,IF(補助シート!$J16="魔",補助シート!AM84,VLOOKUP($F36,敵技,2,0)))),0)),0)),0)-IF(OR(補助シート!$J16="魔",補助シート!$I16="なし",補助シート!$I16="念",補助シート!$I16="叩"),0,HLOOKUP(補助シート!$I16,味方耐性,補助シート!AM$12,0)),0)),0),0)),IF(OR(補助シート!$I50="念",補助シート!$I50="叩"),補助シート!AM50,IF(OR(補助シート!$J50="燃",補助シート!$J50="凍"),補助シート!AM62,ROUNDDOWN(補助シート!AM16*VLOOKUP($F36,敵技,7+$K$31,0),0)))))</f>
        <v>120</v>
      </c>
      <c r="AQ36" s="199"/>
      <c r="AR36" s="198">
        <f ca="1">IF(OR($B36="",AP$35="",$F36=""),"",IF($K$33="あり",IF(補助シート!$AR16="全体",$K$31,IF(補助シート!$AR16="３回",3,1)),1)*IF(AND(NOT(補助シート!$AQ16="回転"),NOT(補助シート!$I50="念"),NOT(補助シート!$I50="叩"),NOT(補助シート!$J50="燃"),NOT(補助シート!$J50="凍")),MAX(IF(補助シート!$I18="なし",1,0),ROUNDDOWN(IF(補助シート!AO$9="あり",0.5,1)*ROUNDDOWN(IF(補助シート!$I16="なし",1,補助シート!AO39)*(ROUNDDOWN(IF(AND(補助シート!AO$9="大防御",NOT(補助シート!$J39="高")),0.1,1)*ROUNDDOWN(IF(AND(補助シート!AM$7="あり",OR(補助シート!$I16="炎",補助シート!$I16="雪")),0.5,1)*(ROUNDDOWN(IF(AND(OR(補助シート!$J16="物理",補助シート!$J16="魔"),$L36="あり",NOT(補助シート!$AQ16="倍無")),補助シート!$F$46,1)*(IF(AND(OR(補助シート!$J16="物理",補助シート!$J16="魔"),$J36="あり",NOT(補助シート!$AQ16="倍無"),OR(NOT(補助シート!$AQ16="隊列"),AND(補助シート!AO$6=1,補助シート!$AQ16="隊列"))),2,1)*ROUNDDOWN(HLOOKUP(補助シート!AO$6,敵隊列,MATCH($F36,敵技リスト,0)+1)*(IF(補助シート!$J16="物理",補助シート!AO16,IF(補助シート!$J16="魔",補助シート!AO84,VLOOKUP($F36,敵技,3,0)))),0)),0)),0)-IF(OR(補助シート!$J16="魔",補助シート!$I16="なし",補助シート!$I16="念",補助シート!$I16="叩"),0,HLOOKUP(補助シート!$I16,味方耐性,補助シート!AO$12,0)),0)),0),0)),IF(OR(補助シート!$I50="念",補助シート!$I50="叩"),補助シート!AO50,IF(OR(補助シート!$J50="燃",補助シート!$J50="凍"),補助シート!AO62,ROUNDDOWN(補助シート!AO16*VLOOKUP($F36,敵技,7+$K$31,0),0)))))</f>
        <v>150</v>
      </c>
      <c r="AS36" s="199"/>
      <c r="AT36" s="64"/>
      <c r="AU36" s="72"/>
    </row>
    <row r="37" spans="1:47" x14ac:dyDescent="0.15">
      <c r="A37" s="70"/>
      <c r="B37" s="196" t="str">
        <f t="shared" ref="B37:B43" ca="1" si="1">B5</f>
        <v>デスタムーア3</v>
      </c>
      <c r="C37" s="197"/>
      <c r="D37" s="197"/>
      <c r="E37" s="200"/>
      <c r="F37" s="183" t="s">
        <v>942</v>
      </c>
      <c r="G37" s="184"/>
      <c r="H37" s="184"/>
      <c r="I37" s="185"/>
      <c r="J37" s="189" t="s">
        <v>466</v>
      </c>
      <c r="K37" s="190"/>
      <c r="L37" s="189" t="s">
        <v>466</v>
      </c>
      <c r="M37" s="190"/>
      <c r="N37" s="198">
        <f ca="1">IF(OR($B37="",N$35="",$F37=""),"",IF($K$33="あり",IF(補助シート!$AR17="全体",$K$31,IF(補助シート!$AR17="３回",3,1)),1)*IF(AND(NOT(補助シート!$AQ17="回転"),NOT(補助シート!$I51="念"),NOT(補助シート!$I51="叩"),NOT(補助シート!$J51="燃"),NOT(補助シート!$J51="凍")),MAX(0,ROUNDDOWN(IF(補助シート!K$9="あり",0.5,1)*ROUNDDOWN(IF(補助シート!$I17="なし",1,補助シート!K40)*(ROUNDDOWN(IF(AND(補助シート!K$9="大防御",NOT(補助シート!$J40="高")),0.1,1)*ROUNDDOWN(IF(AND(補助シート!K$7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K$6=1,補助シート!$AQ17="隊列"))),2,1)*ROUNDDOWN(HLOOKUP(補助シート!K$6,敵隊列,MATCH($F37,敵技リスト,0)+1)*(IF(補助シート!$J17="物理",補助シート!K17,IF(補助シート!$J17="魔",補助シート!K85,VLOOKUP($F37,敵技,2,0)))),0)),0)),0)-IF(OR(補助シート!$J17="魔",補助シート!$I17="なし",補助シート!$I17="念",補助シート!$I17="叩"),0,HLOOKUP(補助シート!$I17,味方耐性,補助シート!K$12,0)),0)),0),0)),IF(OR(補助シート!$I51="念",補助シート!$I51="叩"),補助シート!K51,IF(OR(補助シート!$J51="燃",補助シート!$J51="凍"),補助シート!K63,ROUNDDOWN(補助シート!K17*VLOOKUP($F37,敵技,7+$K$31,0),0)))))</f>
        <v>85</v>
      </c>
      <c r="O37" s="199"/>
      <c r="P37" s="198">
        <f ca="1">IF(OR($B37="",N$35="",$F37=""),"",IF($K$33="あり",IF(補助シート!$AR17="全体",$K$31,IF(補助シート!$AR17="３回",3,1)),1)*IF(AND(NOT(補助シート!$AQ17="回転"),NOT(補助シート!$I51="念"),NOT(補助シート!$I51="叩"),NOT(補助シート!$J51="燃"),NOT(補助シート!$J51="凍")),MAX(IF(補助シート!$I19="なし",1,0),ROUNDDOWN(IF(補助シート!M$9="あり",0.5,1)*ROUNDDOWN(IF(補助シート!$I17="なし",1,補助シート!M40)*(ROUNDDOWN(IF(AND(補助シート!M$9="大防御",NOT(補助シート!$J40="高")),0.1,1)*ROUNDDOWN(IF(AND(補助シート!K$7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M$6=1,補助シート!$AQ17="隊列"))),2,1)*ROUNDDOWN(HLOOKUP(補助シート!M$6,敵隊列,MATCH($F37,敵技リスト,0)+1)*(IF(補助シート!$J17="物理",補助シート!M17,IF(補助シート!$J17="魔",補助シート!M85,VLOOKUP($F37,敵技,3,0)))),0)),0)),0)-IF(OR(補助シート!$J17="魔",補助シート!$I17="なし",補助シート!$I17="念",補助シート!$I17="叩"),0,HLOOKUP(補助シート!$I17,味方耐性,補助シート!M$12,0)),0)),0),0)),IF(OR(補助シート!$I51="念",補助シート!$I51="叩"),補助シート!M51,IF(OR(補助シート!$J51="燃",補助シート!$J51="凍"),補助シート!M63,ROUNDDOWN(補助シート!M17*VLOOKUP($F37,敵技,7+$K$31,0),0)))))</f>
        <v>105</v>
      </c>
      <c r="Q37" s="199"/>
      <c r="R37" s="198">
        <f ca="1">IF(OR($B37="",R$35="",$F37=""),"",IF($K$33="あり",IF(補助シート!$AR17="全体",$K$31,IF(補助シート!$AR17="３回",3,1)),1)*IF(AND(NOT(補助シート!$AQ17="回転"),NOT(補助シート!$I51="念"),NOT(補助シート!$I51="叩"),NOT(補助シート!$J51="燃"),NOT(補助シート!$J51="凍")),MAX(0,ROUNDDOWN(IF(補助シート!O$9="あり",0.5,1)*ROUNDDOWN(IF(補助シート!$I17="なし",1,補助シート!O40)*(ROUNDDOWN(IF(AND(補助シート!O$9="大防御",NOT(補助シート!$J40="高")),0.1,1)*ROUNDDOWN(IF(AND(補助シート!O$7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O$6=1,補助シート!$AQ17="隊列"))),2,1)*ROUNDDOWN(HLOOKUP(補助シート!O$6,敵隊列,MATCH($F37,敵技リスト,0)+1)*(IF(補助シート!$J17="物理",補助シート!O17,IF(補助シート!$J17="魔",補助シート!O85,VLOOKUP($F37,敵技,2,0)))),0)),0)),0)-IF(OR(補助シート!$J17="魔",補助シート!$I17="なし",補助シート!$I17="念",補助シート!$I17="叩"),0,HLOOKUP(補助シート!$I17,味方耐性,補助シート!O$12,0)),0)),0),0)),IF(OR(補助シート!$I51="念",補助シート!$I51="叩"),補助シート!O51,IF(OR(補助シート!$J51="燃",補助シート!$J51="凍"),補助シート!O63,ROUNDDOWN(補助シート!O17*VLOOKUP($F37,敵技,7+$K$31,0),0)))))</f>
        <v>105</v>
      </c>
      <c r="S37" s="199"/>
      <c r="T37" s="198">
        <f ca="1">IF(OR($B37="",R$35="",$F37=""),"",IF($K$33="あり",IF(補助シート!$AR17="全体",$K$31,IF(補助シート!$AR17="３回",3,1)),1)*IF(AND(NOT(補助シート!$AQ17="回転"),NOT(補助シート!$I51="念"),NOT(補助シート!$I51="叩"),NOT(補助シート!$J51="燃"),NOT(補助シート!$J51="凍")),MAX(IF(補助シート!$I19="なし",1,0),ROUNDDOWN(IF(補助シート!Q$9="あり",0.5,1)*ROUNDDOWN(IF(補助シート!$I17="なし",1,補助シート!Q40)*(ROUNDDOWN(IF(AND(補助シート!Q$9="大防御",NOT(補助シート!$J40="高")),0.1,1)*ROUNDDOWN(IF(AND(補助シート!O$7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Q$6=1,補助シート!$AQ17="隊列"))),2,1)*ROUNDDOWN(HLOOKUP(補助シート!Q$6,敵隊列,MATCH($F37,敵技リスト,0)+1)*(IF(補助シート!$J17="物理",補助シート!Q17,IF(補助シート!$J17="魔",補助シート!Q85,VLOOKUP($F37,敵技,3,0)))),0)),0)),0)-IF(OR(補助シート!$J17="魔",補助シート!$I17="なし",補助シート!$I17="念",補助シート!$I17="叩"),0,HLOOKUP(補助シート!$I17,味方耐性,補助シート!Q$12,0)),0)),0),0)),IF(OR(補助シート!$I51="念",補助シート!$I51="叩"),補助シート!Q51,IF(OR(補助シート!$J51="燃",補助シート!$J51="凍"),補助シート!Q63,ROUNDDOWN(補助シート!Q17*VLOOKUP($F37,敵技,7+$K$31,0),0)))))</f>
        <v>125</v>
      </c>
      <c r="U37" s="199"/>
      <c r="V37" s="198">
        <f ca="1">IF(OR($B37="",V$35="",$F37=""),"",IF($K$33="あり",IF(補助シート!$AR17="全体",$K$31,IF(補助シート!$AR17="３回",3,1)),1)*IF(AND(NOT(補助シート!$AQ17="回転"),NOT(補助シート!$I51="念"),NOT(補助シート!$I51="叩"),NOT(補助シート!$J51="燃"),NOT(補助シート!$J51="凍")),MAX(0,ROUNDDOWN(IF(補助シート!S$9="あり",0.5,1)*ROUNDDOWN(IF(補助シート!$I17="なし",1,補助シート!S40)*(ROUNDDOWN(IF(AND(補助シート!S$9="大防御",NOT(補助シート!$J40="高")),0.1,1)*ROUNDDOWN(IF(AND(補助シート!S$7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S$6=1,補助シート!$AQ17="隊列"))),2,1)*ROUNDDOWN(HLOOKUP(補助シート!S$6,敵隊列,MATCH($F37,敵技リスト,0)+1)*(IF(補助シート!$J17="物理",補助シート!S17,IF(補助シート!$J17="魔",補助シート!S85,VLOOKUP($F37,敵技,2,0)))),0)),0)),0)-IF(OR(補助シート!$J17="魔",補助シート!$I17="なし",補助シート!$I17="念",補助シート!$I17="叩"),0,HLOOKUP(補助シート!$I17,味方耐性,補助シート!S$12,0)),0)),0),0)),IF(OR(補助シート!$I51="念",補助シート!$I51="叩"),補助シート!S51,IF(OR(補助シート!$J51="燃",補助シート!$J51="凍"),補助シート!S63,ROUNDDOWN(補助シート!S17*VLOOKUP($F37,敵技,7+$K$31,0),0)))))</f>
        <v>120</v>
      </c>
      <c r="W37" s="199"/>
      <c r="X37" s="198">
        <f ca="1">IF(OR($B37="",V$35="",$F37=""),"",IF($K$33="あり",IF(補助シート!$AR17="全体",$K$31,IF(補助シート!$AR17="３回",3,1)),1)*IF(AND(NOT(補助シート!$AQ17="回転"),NOT(補助シート!$I51="念"),NOT(補助シート!$I51="叩"),NOT(補助シート!$J51="燃"),NOT(補助シート!$J51="凍")),MAX(IF(補助シート!$I19="なし",1,0),ROUNDDOWN(IF(補助シート!U$9="あり",0.5,1)*ROUNDDOWN(IF(補助シート!$I17="なし",1,補助シート!U40)*(ROUNDDOWN(IF(AND(補助シート!U$9="大防御",NOT(補助シート!$J40="高")),0.1,1)*ROUNDDOWN(IF(AND(補助シート!S$7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U$6=1,補助シート!$AQ17="隊列"))),2,1)*ROUNDDOWN(HLOOKUP(補助シート!U$6,敵隊列,MATCH($F37,敵技リスト,0)+1)*(IF(補助シート!$J17="物理",補助シート!U17,IF(補助シート!$J17="魔",補助シート!U85,VLOOKUP($F37,敵技,3,0)))),0)),0)),0)-IF(OR(補助シート!$J17="魔",補助シート!$I17="なし",補助シート!$I17="念",補助シート!$I17="叩"),0,HLOOKUP(補助シート!$I17,味方耐性,補助シート!U$12,0)),0)),0),0)),IF(OR(補助シート!$I51="念",補助シート!$I51="叩"),補助シート!U51,IF(OR(補助シート!$J51="燃",補助シート!$J51="凍"),補助シート!U63,ROUNDDOWN(補助シート!U17*VLOOKUP($F37,敵技,7+$K$31,0),0)))))</f>
        <v>140</v>
      </c>
      <c r="Y37" s="199"/>
      <c r="Z37" s="198">
        <f ca="1">IF(OR($B37="",Z$35="",$F37=""),"",IF($K$33="あり",IF(補助シート!$AR17="全体",$K$31,IF(補助シート!$AR17="３回",3,1)),1)*IF(AND(NOT(補助シート!$AQ17="回転"),NOT(補助シート!$I51="念"),NOT(補助シート!$I51="叩"),NOT(補助シート!$J51="燃"),NOT(補助シート!$J51="凍")),MAX(0,ROUNDDOWN(IF(補助シート!W$9="あり",0.5,1)*ROUNDDOWN(IF(補助シート!$I17="なし",1,補助シート!W40)*(ROUNDDOWN(IF(AND(補助シート!W$9="大防御",NOT(補助シート!$J40="高")),0.1,1)*ROUNDDOWN(IF(AND(補助シート!W$7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W$6=1,補助シート!$AQ17="隊列"))),2,1)*ROUNDDOWN(HLOOKUP(補助シート!W$6,敵隊列,MATCH($F37,敵技リスト,0)+1)*(IF(補助シート!$J17="物理",補助シート!W17,IF(補助シート!$J17="魔",補助シート!W85,VLOOKUP($F37,敵技,2,0)))),0)),0)),0)-IF(OR(補助シート!$J17="魔",補助シート!$I17="なし",補助シート!$I17="念",補助シート!$I17="叩"),0,HLOOKUP(補助シート!$I17,味方耐性,補助シート!W$12,0)),0)),0),0)),IF(OR(補助シート!$I51="念",補助シート!$I51="叩"),補助シート!W51,IF(OR(補助シート!$J51="燃",補助シート!$J51="凍"),補助シート!W63,ROUNDDOWN(補助シート!W17*VLOOKUP($F37,敵技,7+$K$31,0),0)))))</f>
        <v>83</v>
      </c>
      <c r="AA37" s="199"/>
      <c r="AB37" s="198">
        <f ca="1">IF(OR($B37="",Z$35="",$F37=""),"",IF($K$33="あり",IF(補助シート!$AR17="全体",$K$31,IF(補助シート!$AR17="３回",3,1)),1)*IF(AND(NOT(補助シート!$AQ17="回転"),NOT(補助シート!$I51="念"),NOT(補助シート!$I51="叩"),NOT(補助シート!$J51="燃"),NOT(補助シート!$J51="凍")),MAX(IF(補助シート!$I19="なし",1,0),ROUNDDOWN(IF(補助シート!Y$9="あり",0.5,1)*ROUNDDOWN(IF(補助シート!$I17="なし",1,補助シート!Y40)*(ROUNDDOWN(IF(AND(補助シート!Y$9="大防御",NOT(補助シート!$J40="高")),0.1,1)*ROUNDDOWN(IF(AND(補助シート!W$7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Y$6=1,補助シート!$AQ17="隊列"))),2,1)*ROUNDDOWN(HLOOKUP(補助シート!Y$6,敵隊列,MATCH($F37,敵技リスト,0)+1)*(IF(補助シート!$J17="物理",補助シート!Y17,IF(補助シート!$J17="魔",補助シート!Y85,VLOOKUP($F37,敵技,3,0)))),0)),0)),0)-IF(OR(補助シート!$J17="魔",補助シート!$I17="なし",補助シート!$I17="念",補助シート!$I17="叩"),0,HLOOKUP(補助シート!$I17,味方耐性,補助シート!Y$12,0)),0)),0),0)),IF(OR(補助シート!$I51="念",補助シート!$I51="叩"),補助シート!Y51,IF(OR(補助シート!$J51="燃",補助シート!$J51="凍"),補助シート!Y63,ROUNDDOWN(補助シート!Y17*VLOOKUP($F37,敵技,7+$K$31,0),0)))))</f>
        <v>97</v>
      </c>
      <c r="AC37" s="199"/>
      <c r="AD37" s="198">
        <f ca="1">IF(OR($B37="",AD$35="",$F37=""),"",IF($K$33="あり",IF(補助シート!$AR17="全体",$K$31,IF(補助シート!$AR17="３回",3,1)),1)*IF(AND(NOT(補助シート!$AQ17="回転"),NOT(補助シート!$I51="念"),NOT(補助シート!$I51="叩"),NOT(補助シート!$J51="燃"),NOT(補助シート!$J51="凍")),MAX(0,ROUNDDOWN(IF(補助シート!AA$9="あり",0.5,1)*ROUNDDOWN(IF(補助シート!$I17="なし",1,補助シート!AA40)*(ROUNDDOWN(IF(AND(補助シート!AA$9="大防御",NOT(補助シート!$J40="高")),0.1,1)*ROUNDDOWN(IF(AND(補助シート!AA$7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AA$6=1,補助シート!$AQ17="隊列"))),2,1)*ROUNDDOWN(HLOOKUP(補助シート!AA$6,敵隊列,MATCH($F37,敵技リスト,0)+1)*(IF(補助シート!$J17="物理",補助シート!AA17,IF(補助シート!$J17="魔",補助シート!AA85,VLOOKUP($F37,敵技,2,0)))),0)),0)),0)-IF(OR(補助シート!$J17="魔",補助シート!$I17="なし",補助シート!$I17="念",補助シート!$I17="叩"),0,HLOOKUP(補助シート!$I17,味方耐性,補助シート!AA$12,0)),0)),0),0)),IF(OR(補助シート!$I51="念",補助シート!$I51="叩"),補助シート!AA51,IF(OR(補助シート!$J51="燃",補助シート!$J51="凍"),補助シート!AA63,ROUNDDOWN(補助シート!AA17*VLOOKUP($F37,敵技,7+$K$31,0),0)))))</f>
        <v>120</v>
      </c>
      <c r="AE37" s="199"/>
      <c r="AF37" s="198">
        <f ca="1">IF(OR($B37="",AD$35="",$F37=""),"",IF($K$33="あり",IF(補助シート!$AR17="全体",$K$31,IF(補助シート!$AR17="３回",3,1)),1)*IF(AND(NOT(補助シート!$AQ17="回転"),NOT(補助シート!$I51="念"),NOT(補助シート!$I51="叩"),NOT(補助シート!$J51="燃"),NOT(補助シート!$J51="凍")),MAX(IF(補助シート!$I19="なし",1,0),ROUNDDOWN(IF(補助シート!AC$9="あり",0.5,1)*ROUNDDOWN(IF(補助シート!$I17="なし",1,補助シート!AC40)*(ROUNDDOWN(IF(AND(補助シート!AC$9="大防御",NOT(補助シート!$J40="高")),0.1,1)*ROUNDDOWN(IF(AND(補助シート!AA$7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AC$6=1,補助シート!$AQ17="隊列"))),2,1)*ROUNDDOWN(HLOOKUP(補助シート!AC$6,敵隊列,MATCH($F37,敵技リスト,0)+1)*(IF(補助シート!$J17="物理",補助シート!AC17,IF(補助シート!$J17="魔",補助シート!AC85,VLOOKUP($F37,敵技,3,0)))),0)),0)),0)-IF(OR(補助シート!$J17="魔",補助シート!$I17="なし",補助シート!$I17="念",補助シート!$I17="叩"),0,HLOOKUP(補助シート!$I17,味方耐性,補助シート!AC$12,0)),0)),0),0)),IF(OR(補助シート!$I51="念",補助シート!$I51="叩"),補助シート!AC51,IF(OR(補助シート!$J51="燃",補助シート!$J51="凍"),補助シート!AC63,ROUNDDOWN(補助シート!AC17*VLOOKUP($F37,敵技,7+$K$31,0),0)))))</f>
        <v>140</v>
      </c>
      <c r="AG37" s="199"/>
      <c r="AH37" s="198">
        <f ca="1">IF(OR($B37="",AH$35="",$F37=""),"",IF($K$33="あり",IF(補助シート!$AR17="全体",$K$31,IF(補助シート!$AR17="３回",3,1)),1)*IF(AND(NOT(補助シート!$AQ17="回転"),NOT(補助シート!$I51="念"),NOT(補助シート!$I51="叩"),NOT(補助シート!$J51="燃"),NOT(補助シート!$J51="凍")),MAX(0,ROUNDDOWN(IF(補助シート!AE$9="あり",0.5,1)*ROUNDDOWN(IF(補助シート!$I17="なし",1,補助シート!AE40)*(ROUNDDOWN(IF(AND(補助シート!AE$9="大防御",NOT(補助シート!$J40="高")),0.1,1)*ROUNDDOWN(IF(AND(補助シート!AE$7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AE$6=1,補助シート!$AQ17="隊列"))),2,1)*ROUNDDOWN(HLOOKUP(補助シート!AE$6,敵隊列,MATCH($F37,敵技リスト,0)+1)*(IF(補助シート!$J17="物理",補助シート!AE17,IF(補助シート!$J17="魔",補助シート!AE85,VLOOKUP($F37,敵技,2,0)))),0)),0)),0)-IF(OR(補助シート!$J17="魔",補助シート!$I17="なし",補助シート!$I17="念",補助シート!$I17="叩"),0,HLOOKUP(補助シート!$I17,味方耐性,補助シート!AE$12,0)),0)),0),0)),IF(OR(補助シート!$I51="念",補助シート!$I51="叩"),補助シート!AE51,IF(OR(補助シート!$J51="燃",補助シート!$J51="凍"),補助シート!AE63,ROUNDDOWN(補助シート!AE17*VLOOKUP($F37,敵技,7+$K$31,0),0)))))</f>
        <v>107</v>
      </c>
      <c r="AI37" s="199"/>
      <c r="AJ37" s="198">
        <f ca="1">IF(OR($B37="",AH$35="",$F37=""),"",IF($K$33="あり",IF(補助シート!$AR17="全体",$K$31,IF(補助シート!$AR17="３回",3,1)),1)*IF(AND(NOT(補助シート!$AQ17="回転"),NOT(補助シート!$I51="念"),NOT(補助シート!$I51="叩"),NOT(補助シート!$J51="燃"),NOT(補助シート!$J51="凍")),MAX(IF(補助シート!$I19="なし",1,0),ROUNDDOWN(IF(補助シート!AG$9="あり",0.5,1)*ROUNDDOWN(IF(補助シート!$I17="なし",1,補助シート!AG40)*(ROUNDDOWN(IF(AND(補助シート!AG$9="大防御",NOT(補助シート!$J40="高")),0.1,1)*ROUNDDOWN(IF(AND(補助シート!AE$7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AG$6=1,補助シート!$AQ17="隊列"))),2,1)*ROUNDDOWN(HLOOKUP(補助シート!AG$6,敵隊列,MATCH($F37,敵技リスト,0)+1)*(IF(補助シート!$J17="物理",補助シート!AG17,IF(補助シート!$J17="魔",補助シート!AG85,VLOOKUP($F37,敵技,3,0)))),0)),0)),0)-IF(OR(補助シート!$J17="魔",補助シート!$I17="なし",補助シート!$I17="念",補助シート!$I17="叩"),0,HLOOKUP(補助シート!$I17,味方耐性,補助シート!AG$12,0)),0)),0),0)),IF(OR(補助シート!$I51="念",補助シート!$I51="叩"),補助シート!AG51,IF(OR(補助シート!$J51="燃",補助シート!$J51="凍"),補助シート!AG63,ROUNDDOWN(補助シート!AG17*VLOOKUP($F37,敵技,7+$K$31,0),0)))))</f>
        <v>127</v>
      </c>
      <c r="AK37" s="199"/>
      <c r="AL37" s="198">
        <f ca="1">IF(OR($B37="",AL$35="",$F37=""),"",IF($K$33="あり",IF(補助シート!$AR17="全体",$K$31,IF(補助シート!$AR17="３回",3,1)),1)*IF(AND(NOT(補助シート!$AQ17="回転"),NOT(補助シート!$I51="念"),NOT(補助シート!$I51="叩"),NOT(補助シート!$J51="燃"),NOT(補助シート!$J51="凍")),MAX(0,ROUNDDOWN(IF(補助シート!AI$9="あり",0.5,1)*ROUNDDOWN(IF(補助シート!$I17="なし",1,補助シート!AI40)*(ROUNDDOWN(IF(AND(補助シート!AI$9="大防御",NOT(補助シート!$J40="高")),0.1,1)*ROUNDDOWN(IF(AND(補助シート!AI$7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AI$6=1,補助シート!$AQ17="隊列"))),2,1)*ROUNDDOWN(HLOOKUP(補助シート!AI$6,敵隊列,MATCH($F37,敵技リスト,0)+1)*(IF(補助シート!$J17="物理",補助シート!AI17,IF(補助シート!$J17="魔",補助シート!AI85,VLOOKUP($F37,敵技,2,0)))),0)),0)),0)-IF(OR(補助シート!$J17="魔",補助シート!$I17="なし",補助シート!$I17="念",補助シート!$I17="叩"),0,HLOOKUP(補助シート!$I17,味方耐性,補助シート!AI$12,0)),0)),0),0)),IF(OR(補助シート!$I51="念",補助シート!$I51="叩"),補助シート!AI51,IF(OR(補助シート!$J51="燃",補助シート!$J51="凍"),補助シート!AI63,ROUNDDOWN(補助シート!AI17*VLOOKUP($F37,敵技,7+$K$31,0),0)))))</f>
        <v>80</v>
      </c>
      <c r="AM37" s="199"/>
      <c r="AN37" s="198">
        <f ca="1">IF(OR($B37="",AL$35="",$F37=""),"",IF($K$33="あり",IF(補助シート!$AR17="全体",$K$31,IF(補助シート!$AR17="３回",3,1)),1)*IF(AND(NOT(補助シート!$AQ17="回転"),NOT(補助シート!$I51="念"),NOT(補助シート!$I51="叩"),NOT(補助シート!$J51="燃"),NOT(補助シート!$J51="凍")),MAX(IF(補助シート!$I19="なし",1,0),ROUNDDOWN(IF(補助シート!AK$9="あり",0.5,1)*ROUNDDOWN(IF(補助シート!$I17="なし",1,補助シート!AK40)*(ROUNDDOWN(IF(AND(補助シート!AK$9="大防御",NOT(補助シート!$J40="高")),0.1,1)*ROUNDDOWN(IF(AND(補助シート!AI$7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AK$6=1,補助シート!$AQ17="隊列"))),2,1)*ROUNDDOWN(HLOOKUP(補助シート!AK$6,敵隊列,MATCH($F37,敵技リスト,0)+1)*(IF(補助シート!$J17="物理",補助シート!AK17,IF(補助シート!$J17="魔",補助シート!AK85,VLOOKUP($F37,敵技,3,0)))),0)),0)),0)-IF(OR(補助シート!$J17="魔",補助シート!$I17="なし",補助シート!$I17="念",補助シート!$I17="叩"),0,HLOOKUP(補助シート!$I17,味方耐性,補助シート!AK$12,0)),0)),0),0)),IF(OR(補助シート!$I51="念",補助シート!$I51="叩"),補助シート!AK51,IF(OR(補助シート!$J51="燃",補助シート!$J51="凍"),補助シート!AK63,ROUNDDOWN(補助シート!AK17*VLOOKUP($F37,敵技,7+$K$31,0),0)))))</f>
        <v>100</v>
      </c>
      <c r="AO37" s="199"/>
      <c r="AP37" s="198">
        <f ca="1">IF(OR($B37="",AP$35="",$F37=""),"",IF($K$33="あり",IF(補助シート!$AR17="全体",$K$31,IF(補助シート!$AR17="３回",3,1)),1)*IF(AND(NOT(補助シート!$AQ17="回転"),NOT(補助シート!$I51="念"),NOT(補助シート!$I51="叩"),NOT(補助シート!$J51="燃"),NOT(補助シート!$J51="凍")),MAX(0,ROUNDDOWN(IF(補助シート!AM$9="あり",0.5,1)*ROUNDDOWN(IF(補助シート!$I17="なし",1,補助シート!AM40)*(ROUNDDOWN(IF(AND(補助シート!AM$9="大防御",NOT(補助シート!$J40="高")),0.1,1)*ROUNDDOWN(IF(AND(補助シート!AM$7="あり",OR(補助シート!$I17="炎",補助シート!$I17="雪")),0.5,1)*(ROUNDDOWN(IF(AND(OR(補助シート!$J17="物理",補助シート!$J17="魔"),$L37="あり",NOT(補助シート!$AQ17="倍無")),補助シート!$F$45,1)*(IF(AND(OR(補助シート!$J17="物理",補助シート!$J17="魔"),$J37="あり",NOT(補助シート!$AQ17="倍無"),OR(NOT(補助シート!$AQ17="隊列"),AND(補助シート!AM$6=1,補助シート!$AQ17="隊列"))),2,1)*ROUNDDOWN(HLOOKUP(補助シート!AM$6,敵隊列,MATCH($F37,敵技リスト,0)+1)*(IF(補助シート!$J17="物理",補助シート!AM17,IF(補助シート!$J17="魔",補助シート!AM85,VLOOKUP($F37,敵技,2,0)))),0)),0)),0)-IF(OR(補助シート!$J17="魔",補助シート!$I17="なし",補助シート!$I17="念",補助シート!$I17="叩"),0,HLOOKUP(補助シート!$I17,味方耐性,補助シート!AM$12,0)),0)),0),0)),IF(OR(補助シート!$I51="念",補助シート!$I51="叩"),補助シート!AM51,IF(OR(補助シート!$J51="燃",補助シート!$J51="凍"),補助シート!AM63,ROUNDDOWN(補助シート!AM17*VLOOKUP($F37,敵技,7+$K$31,0),0)))))</f>
        <v>90</v>
      </c>
      <c r="AQ37" s="199"/>
      <c r="AR37" s="198">
        <f ca="1">IF(OR($B37="",AP$35="",$F37=""),"",IF($K$33="あり",IF(補助シート!$AR17="全体",$K$31,IF(補助シート!$AR17="３回",3,1)),1)*IF(AND(NOT(補助シート!$AQ17="回転"),NOT(補助シート!$I51="念"),NOT(補助シート!$I51="叩"),NOT(補助シート!$J51="燃"),NOT(補助シート!$J51="凍")),MAX(IF(補助シート!$I19="なし",1,0),ROUNDDOWN(IF(補助シート!AO$9="あり",0.5,1)*ROUNDDOWN(IF(補助シート!$I17="なし",1,補助シート!AO40)*(ROUNDDOWN(IF(AND(補助シート!AO$9="大防御",NOT(補助シート!$J40="高")),0.1,1)*ROUNDDOWN(IF(AND(補助シート!AM$7="あり",OR(補助シート!$I17="炎",補助シート!$I17="雪")),0.5,1)*(ROUNDDOWN(IF(AND(OR(補助シート!$J17="物理",補助シート!$J17="魔"),$L37="あり",NOT(補助シート!$AQ17="倍無")),補助シート!$F$46,1)*(IF(AND(OR(補助シート!$J17="物理",補助シート!$J17="魔"),$J37="あり",NOT(補助シート!$AQ17="倍無"),OR(NOT(補助シート!$AQ17="隊列"),AND(補助シート!AO$6=1,補助シート!$AQ17="隊列"))),2,1)*ROUNDDOWN(HLOOKUP(補助シート!AO$6,敵隊列,MATCH($F37,敵技リスト,0)+1)*(IF(補助シート!$J17="物理",補助シート!AO17,IF(補助シート!$J17="魔",補助シート!AO85,VLOOKUP($F37,敵技,3,0)))),0)),0)),0)-IF(OR(補助シート!$J17="魔",補助シート!$I17="なし",補助シート!$I17="念",補助シート!$I17="叩"),0,HLOOKUP(補助シート!$I17,味方耐性,補助シート!AO$12,0)),0)),0),0)),IF(OR(補助シート!$I51="念",補助シート!$I51="叩"),補助シート!AO51,IF(OR(補助シート!$J51="燃",補助シート!$J51="凍"),補助シート!AO63,ROUNDDOWN(補助シート!AO17*VLOOKUP($F37,敵技,7+$K$31,0),0)))))</f>
        <v>110</v>
      </c>
      <c r="AS37" s="199"/>
      <c r="AT37" s="64"/>
      <c r="AU37" s="72"/>
    </row>
    <row r="38" spans="1:47" ht="13.5" customHeight="1" x14ac:dyDescent="0.15">
      <c r="A38" s="70"/>
      <c r="B38" s="196" t="str">
        <f t="shared" ca="1" si="1"/>
        <v>デスタムーア3</v>
      </c>
      <c r="C38" s="197"/>
      <c r="D38" s="197"/>
      <c r="E38" s="200"/>
      <c r="F38" s="183" t="s">
        <v>493</v>
      </c>
      <c r="G38" s="184"/>
      <c r="H38" s="184"/>
      <c r="I38" s="185"/>
      <c r="J38" s="189" t="s">
        <v>466</v>
      </c>
      <c r="K38" s="190"/>
      <c r="L38" s="189" t="s">
        <v>466</v>
      </c>
      <c r="M38" s="190"/>
      <c r="N38" s="198">
        <f ca="1">IF(OR($B38="",N$35="",$F38=""),"",IF($K$33="あり",IF(補助シート!$AR18="全体",$K$31,IF(補助シート!$AR18="３回",3,1)),1)*IF(AND(NOT(補助シート!$AQ18="回転"),NOT(補助シート!$I52="念"),NOT(補助シート!$I52="叩"),NOT(補助シート!$J52="燃"),NOT(補助シート!$J52="凍")),MAX(0,ROUNDDOWN(IF(補助シート!K$9="あり",0.5,1)*ROUNDDOWN(IF(補助シート!$I18="なし",1,補助シート!K41)*(ROUNDDOWN(IF(AND(補助シート!K$9="大防御",NOT(補助シート!$J41="高")),0.1,1)*ROUNDDOWN(IF(AND(補助シート!K$7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K$6=1,補助シート!$AQ18="隊列"))),2,1)*ROUNDDOWN(HLOOKUP(補助シート!K$6,敵隊列,MATCH($F38,敵技リスト,0)+1)*(IF(補助シート!$J18="物理",補助シート!K18,IF(補助シート!$J18="魔",補助シート!K86,VLOOKUP($F38,敵技,2,0)))),0)),0)),0)-IF(OR(補助シート!$J18="魔",補助シート!$I18="なし",補助シート!$I18="念",補助シート!$I18="叩"),0,HLOOKUP(補助シート!$I18,味方耐性,補助シート!K$12,0)),0)),0),0)),IF(OR(補助シート!$I52="念",補助シート!$I52="叩"),補助シート!K52,IF(OR(補助シート!$J52="燃",補助シート!$J52="凍"),補助シート!K64,ROUNDDOWN(補助シート!K18*VLOOKUP($F38,敵技,7+$K$31,0),0)))))</f>
        <v>90</v>
      </c>
      <c r="O38" s="199"/>
      <c r="P38" s="198">
        <f ca="1">IF(OR($B38="",N$35="",$F38=""),"",IF($K$33="あり",IF(補助シート!$AR18="全体",$K$31,IF(補助シート!$AR18="３回",3,1)),1)*IF(AND(NOT(補助シート!$AQ18="回転"),NOT(補助シート!$I52="念"),NOT(補助シート!$I52="叩"),NOT(補助シート!$J52="燃"),NOT(補助シート!$J52="凍")),MAX(IF(補助シート!$I20="なし",1,0),ROUNDDOWN(IF(補助シート!M$9="あり",0.5,1)*ROUNDDOWN(IF(補助シート!$I18="なし",1,補助シート!M41)*(ROUNDDOWN(IF(AND(補助シート!M$9="大防御",NOT(補助シート!$J41="高")),0.1,1)*ROUNDDOWN(IF(AND(補助シート!K$7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M$6=1,補助シート!$AQ18="隊列"))),2,1)*ROUNDDOWN(HLOOKUP(補助シート!M$6,敵隊列,MATCH($F38,敵技リスト,0)+1)*(IF(補助シート!$J18="物理",補助シート!M18,IF(補助シート!$J18="魔",補助シート!M86,VLOOKUP($F38,敵技,3,0)))),0)),0)),0)-IF(OR(補助シート!$J18="魔",補助シート!$I18="なし",補助シート!$I18="念",補助シート!$I18="叩"),0,HLOOKUP(補助シート!$I18,味方耐性,補助シート!M$12,0)),0)),0),0)),IF(OR(補助シート!$I52="念",補助シート!$I52="叩"),補助シート!M52,IF(OR(補助シート!$J52="燃",補助シート!$J52="凍"),補助シート!M64,ROUNDDOWN(補助シート!M18*VLOOKUP($F38,敵技,7+$K$31,0),0)))))</f>
        <v>110</v>
      </c>
      <c r="Q38" s="199"/>
      <c r="R38" s="198">
        <f ca="1">IF(OR($B38="",R$35="",$F38=""),"",IF($K$33="あり",IF(補助シート!$AR18="全体",$K$31,IF(補助シート!$AR18="３回",3,1)),1)*IF(AND(NOT(補助シート!$AQ18="回転"),NOT(補助シート!$I52="念"),NOT(補助シート!$I52="叩"),NOT(補助シート!$J52="燃"),NOT(補助シート!$J52="凍")),MAX(0,ROUNDDOWN(IF(補助シート!O$9="あり",0.5,1)*ROUNDDOWN(IF(補助シート!$I18="なし",1,補助シート!O41)*(ROUNDDOWN(IF(AND(補助シート!O$9="大防御",NOT(補助シート!$J41="高")),0.1,1)*ROUNDDOWN(IF(AND(補助シート!O$7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O$6=1,補助シート!$AQ18="隊列"))),2,1)*ROUNDDOWN(HLOOKUP(補助シート!O$6,敵隊列,MATCH($F38,敵技リスト,0)+1)*(IF(補助シート!$J18="物理",補助シート!O18,IF(補助シート!$J18="魔",補助シート!O86,VLOOKUP($F38,敵技,2,0)))),0)),0)),0)-IF(OR(補助シート!$J18="魔",補助シート!$I18="なし",補助シート!$I18="念",補助シート!$I18="叩"),0,HLOOKUP(補助シート!$I18,味方耐性,補助シート!O$12,0)),0)),0),0)),IF(OR(補助シート!$I52="念",補助シート!$I52="叩"),補助シート!O52,IF(OR(補助シート!$J52="燃",補助シート!$J52="凍"),補助シート!O64,ROUNDDOWN(補助シート!O18*VLOOKUP($F38,敵技,7+$K$31,0),0)))))</f>
        <v>120</v>
      </c>
      <c r="S38" s="199"/>
      <c r="T38" s="198">
        <f ca="1">IF(OR($B38="",R$35="",$F38=""),"",IF($K$33="あり",IF(補助シート!$AR18="全体",$K$31,IF(補助シート!$AR18="３回",3,1)),1)*IF(AND(NOT(補助シート!$AQ18="回転"),NOT(補助シート!$I52="念"),NOT(補助シート!$I52="叩"),NOT(補助シート!$J52="燃"),NOT(補助シート!$J52="凍")),MAX(IF(補助シート!$I20="なし",1,0),ROUNDDOWN(IF(補助シート!Q$9="あり",0.5,1)*ROUNDDOWN(IF(補助シート!$I18="なし",1,補助シート!Q41)*(ROUNDDOWN(IF(AND(補助シート!Q$9="大防御",NOT(補助シート!$J41="高")),0.1,1)*ROUNDDOWN(IF(AND(補助シート!O$7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Q$6=1,補助シート!$AQ18="隊列"))),2,1)*ROUNDDOWN(HLOOKUP(補助シート!Q$6,敵隊列,MATCH($F38,敵技リスト,0)+1)*(IF(補助シート!$J18="物理",補助シート!Q18,IF(補助シート!$J18="魔",補助シート!Q86,VLOOKUP($F38,敵技,3,0)))),0)),0)),0)-IF(OR(補助シート!$J18="魔",補助シート!$I18="なし",補助シート!$I18="念",補助シート!$I18="叩"),0,HLOOKUP(補助シート!$I18,味方耐性,補助シート!Q$12,0)),0)),0),0)),IF(OR(補助シート!$I52="念",補助シート!$I52="叩"),補助シート!Q52,IF(OR(補助シート!$J52="燃",補助シート!$J52="凍"),補助シート!Q64,ROUNDDOWN(補助シート!Q18*VLOOKUP($F38,敵技,7+$K$31,0),0)))))</f>
        <v>140</v>
      </c>
      <c r="U38" s="199"/>
      <c r="V38" s="198">
        <f ca="1">IF(OR($B38="",V$35="",$F38=""),"",IF($K$33="あり",IF(補助シート!$AR18="全体",$K$31,IF(補助シート!$AR18="３回",3,1)),1)*IF(AND(NOT(補助シート!$AQ18="回転"),NOT(補助シート!$I52="念"),NOT(補助シート!$I52="叩"),NOT(補助シート!$J52="燃"),NOT(補助シート!$J52="凍")),MAX(0,ROUNDDOWN(IF(補助シート!S$9="あり",0.5,1)*ROUNDDOWN(IF(補助シート!$I18="なし",1,補助シート!S41)*(ROUNDDOWN(IF(AND(補助シート!S$9="大防御",NOT(補助シート!$J41="高")),0.1,1)*ROUNDDOWN(IF(AND(補助シート!S$7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S$6=1,補助シート!$AQ18="隊列"))),2,1)*ROUNDDOWN(HLOOKUP(補助シート!S$6,敵隊列,MATCH($F38,敵技リスト,0)+1)*(IF(補助シート!$J18="物理",補助シート!S18,IF(補助シート!$J18="魔",補助シート!S86,VLOOKUP($F38,敵技,2,0)))),0)),0)),0)-IF(OR(補助シート!$J18="魔",補助シート!$I18="なし",補助シート!$I18="念",補助シート!$I18="叩"),0,HLOOKUP(補助シート!$I18,味方耐性,補助シート!S$12,0)),0)),0),0)),IF(OR(補助シート!$I52="念",補助シート!$I52="叩"),補助シート!S52,IF(OR(補助シート!$J52="燃",補助シート!$J52="凍"),補助シート!S64,ROUNDDOWN(補助シート!S18*VLOOKUP($F38,敵技,7+$K$31,0),0)))))</f>
        <v>120</v>
      </c>
      <c r="W38" s="199"/>
      <c r="X38" s="198">
        <f ca="1">IF(OR($B38="",V$35="",$F38=""),"",IF($K$33="あり",IF(補助シート!$AR18="全体",$K$31,IF(補助シート!$AR18="３回",3,1)),1)*IF(AND(NOT(補助シート!$AQ18="回転"),NOT(補助シート!$I52="念"),NOT(補助シート!$I52="叩"),NOT(補助シート!$J52="燃"),NOT(補助シート!$J52="凍")),MAX(IF(補助シート!$I20="なし",1,0),ROUNDDOWN(IF(補助シート!U$9="あり",0.5,1)*ROUNDDOWN(IF(補助シート!$I18="なし",1,補助シート!U41)*(ROUNDDOWN(IF(AND(補助シート!U$9="大防御",NOT(補助シート!$J41="高")),0.1,1)*ROUNDDOWN(IF(AND(補助シート!S$7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U$6=1,補助シート!$AQ18="隊列"))),2,1)*ROUNDDOWN(HLOOKUP(補助シート!U$6,敵隊列,MATCH($F38,敵技リスト,0)+1)*(IF(補助シート!$J18="物理",補助シート!U18,IF(補助シート!$J18="魔",補助シート!U86,VLOOKUP($F38,敵技,3,0)))),0)),0)),0)-IF(OR(補助シート!$J18="魔",補助シート!$I18="なし",補助シート!$I18="念",補助シート!$I18="叩"),0,HLOOKUP(補助シート!$I18,味方耐性,補助シート!U$12,0)),0)),0),0)),IF(OR(補助シート!$I52="念",補助シート!$I52="叩"),補助シート!U52,IF(OR(補助シート!$J52="燃",補助シート!$J52="凍"),補助シート!U64,ROUNDDOWN(補助シート!U18*VLOOKUP($F38,敵技,7+$K$31,0),0)))))</f>
        <v>140</v>
      </c>
      <c r="Y38" s="199"/>
      <c r="Z38" s="198">
        <f ca="1">IF(OR($B38="",Z$35="",$F38=""),"",IF($K$33="あり",IF(補助シート!$AR18="全体",$K$31,IF(補助シート!$AR18="３回",3,1)),1)*IF(AND(NOT(補助シート!$AQ18="回転"),NOT(補助シート!$I52="念"),NOT(補助シート!$I52="叩"),NOT(補助シート!$J52="燃"),NOT(補助シート!$J52="凍")),MAX(0,ROUNDDOWN(IF(補助シート!W$9="あり",0.5,1)*ROUNDDOWN(IF(補助シート!$I18="なし",1,補助シート!W41)*(ROUNDDOWN(IF(AND(補助シート!W$9="大防御",NOT(補助シート!$J41="高")),0.1,1)*ROUNDDOWN(IF(AND(補助シート!W$7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W$6=1,補助シート!$AQ18="隊列"))),2,1)*ROUNDDOWN(HLOOKUP(補助シート!W$6,敵隊列,MATCH($F38,敵技リスト,0)+1)*(IF(補助シート!$J18="物理",補助シート!W18,IF(補助シート!$J18="魔",補助シート!W86,VLOOKUP($F38,敵技,2,0)))),0)),0)),0)-IF(OR(補助シート!$J18="魔",補助シート!$I18="なし",補助シート!$I18="念",補助シート!$I18="叩"),0,HLOOKUP(補助シート!$I18,味方耐性,補助シート!W$12,0)),0)),0),0)),IF(OR(補助シート!$I52="念",補助シート!$I52="叩"),補助シート!W52,IF(OR(補助シート!$J52="燃",補助シート!$J52="凍"),補助シート!W64,ROUNDDOWN(補助シート!W18*VLOOKUP($F38,敵技,7+$K$31,0),0)))))</f>
        <v>120</v>
      </c>
      <c r="AA38" s="199"/>
      <c r="AB38" s="198">
        <f ca="1">IF(OR($B38="",Z$35="",$F38=""),"",IF($K$33="あり",IF(補助シート!$AR18="全体",$K$31,IF(補助シート!$AR18="３回",3,1)),1)*IF(AND(NOT(補助シート!$AQ18="回転"),NOT(補助シート!$I52="念"),NOT(補助シート!$I52="叩"),NOT(補助シート!$J52="燃"),NOT(補助シート!$J52="凍")),MAX(IF(補助シート!$I20="なし",1,0),ROUNDDOWN(IF(補助シート!Y$9="あり",0.5,1)*ROUNDDOWN(IF(補助シート!$I18="なし",1,補助シート!Y41)*(ROUNDDOWN(IF(AND(補助シート!Y$9="大防御",NOT(補助シート!$J41="高")),0.1,1)*ROUNDDOWN(IF(AND(補助シート!W$7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Y$6=1,補助シート!$AQ18="隊列"))),2,1)*ROUNDDOWN(HLOOKUP(補助シート!Y$6,敵隊列,MATCH($F38,敵技リスト,0)+1)*(IF(補助シート!$J18="物理",補助シート!Y18,IF(補助シート!$J18="魔",補助シート!Y86,VLOOKUP($F38,敵技,3,0)))),0)),0)),0)-IF(OR(補助シート!$J18="魔",補助シート!$I18="なし",補助シート!$I18="念",補助シート!$I18="叩"),0,HLOOKUP(補助シート!$I18,味方耐性,補助シート!Y$12,0)),0)),0),0)),IF(OR(補助シート!$I52="念",補助シート!$I52="叩"),補助シート!Y52,IF(OR(補助シート!$J52="燃",補助シート!$J52="凍"),補助シート!Y64,ROUNDDOWN(補助シート!Y18*VLOOKUP($F38,敵技,7+$K$31,0),0)))))</f>
        <v>140</v>
      </c>
      <c r="AC38" s="199"/>
      <c r="AD38" s="198">
        <f ca="1">IF(OR($B38="",AD$35="",$F38=""),"",IF($K$33="あり",IF(補助シート!$AR18="全体",$K$31,IF(補助シート!$AR18="３回",3,1)),1)*IF(AND(NOT(補助シート!$AQ18="回転"),NOT(補助シート!$I52="念"),NOT(補助シート!$I52="叩"),NOT(補助シート!$J52="燃"),NOT(補助シート!$J52="凍")),MAX(0,ROUNDDOWN(IF(補助シート!AA$9="あり",0.5,1)*ROUNDDOWN(IF(補助シート!$I18="なし",1,補助シート!AA41)*(ROUNDDOWN(IF(AND(補助シート!AA$9="大防御",NOT(補助シート!$J41="高")),0.1,1)*ROUNDDOWN(IF(AND(補助シート!AA$7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AA$6=1,補助シート!$AQ18="隊列"))),2,1)*ROUNDDOWN(HLOOKUP(補助シート!AA$6,敵隊列,MATCH($F38,敵技リスト,0)+1)*(IF(補助シート!$J18="物理",補助シート!AA18,IF(補助シート!$J18="魔",補助シート!AA86,VLOOKUP($F38,敵技,2,0)))),0)),0)),0)-IF(OR(補助シート!$J18="魔",補助シート!$I18="なし",補助シート!$I18="念",補助シート!$I18="叩"),0,HLOOKUP(補助シート!$I18,味方耐性,補助シート!AA$12,0)),0)),0),0)),IF(OR(補助シート!$I52="念",補助シート!$I52="叩"),補助シート!AA52,IF(OR(補助シート!$J52="燃",補助シート!$J52="凍"),補助シート!AA64,ROUNDDOWN(補助シート!AA18*VLOOKUP($F38,敵技,7+$K$31,0),0)))))</f>
        <v>120</v>
      </c>
      <c r="AE38" s="199"/>
      <c r="AF38" s="198">
        <f ca="1">IF(OR($B38="",AD$35="",$F38=""),"",IF($K$33="あり",IF(補助シート!$AR18="全体",$K$31,IF(補助シート!$AR18="３回",3,1)),1)*IF(AND(NOT(補助シート!$AQ18="回転"),NOT(補助シート!$I52="念"),NOT(補助シート!$I52="叩"),NOT(補助シート!$J52="燃"),NOT(補助シート!$J52="凍")),MAX(IF(補助シート!$I20="なし",1,0),ROUNDDOWN(IF(補助シート!AC$9="あり",0.5,1)*ROUNDDOWN(IF(補助シート!$I18="なし",1,補助シート!AC41)*(ROUNDDOWN(IF(AND(補助シート!AC$9="大防御",NOT(補助シート!$J41="高")),0.1,1)*ROUNDDOWN(IF(AND(補助シート!AA$7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AC$6=1,補助シート!$AQ18="隊列"))),2,1)*ROUNDDOWN(HLOOKUP(補助シート!AC$6,敵隊列,MATCH($F38,敵技リスト,0)+1)*(IF(補助シート!$J18="物理",補助シート!AC18,IF(補助シート!$J18="魔",補助シート!AC86,VLOOKUP($F38,敵技,3,0)))),0)),0)),0)-IF(OR(補助シート!$J18="魔",補助シート!$I18="なし",補助シート!$I18="念",補助シート!$I18="叩"),0,HLOOKUP(補助シート!$I18,味方耐性,補助シート!AC$12,0)),0)),0),0)),IF(OR(補助シート!$I52="念",補助シート!$I52="叩"),補助シート!AC52,IF(OR(補助シート!$J52="燃",補助シート!$J52="凍"),補助シート!AC64,ROUNDDOWN(補助シート!AC18*VLOOKUP($F38,敵技,7+$K$31,0),0)))))</f>
        <v>140</v>
      </c>
      <c r="AG38" s="199"/>
      <c r="AH38" s="198">
        <f ca="1">IF(OR($B38="",AH$35="",$F38=""),"",IF($K$33="あり",IF(補助シート!$AR18="全体",$K$31,IF(補助シート!$AR18="３回",3,1)),1)*IF(AND(NOT(補助シート!$AQ18="回転"),NOT(補助シート!$I52="念"),NOT(補助シート!$I52="叩"),NOT(補助シート!$J52="燃"),NOT(補助シート!$J52="凍")),MAX(0,ROUNDDOWN(IF(補助シート!AE$9="あり",0.5,1)*ROUNDDOWN(IF(補助シート!$I18="なし",1,補助シート!AE41)*(ROUNDDOWN(IF(AND(補助シート!AE$9="大防御",NOT(補助シート!$J41="高")),0.1,1)*ROUNDDOWN(IF(AND(補助シート!AE$7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AE$6=1,補助シート!$AQ18="隊列"))),2,1)*ROUNDDOWN(HLOOKUP(補助シート!AE$6,敵隊列,MATCH($F38,敵技リスト,0)+1)*(IF(補助シート!$J18="物理",補助シート!AE18,IF(補助シート!$J18="魔",補助シート!AE86,VLOOKUP($F38,敵技,2,0)))),0)),0)),0)-IF(OR(補助シート!$J18="魔",補助シート!$I18="なし",補助シート!$I18="念",補助シート!$I18="叩"),0,HLOOKUP(補助シート!$I18,味方耐性,補助シート!AE$12,0)),0)),0),0)),IF(OR(補助シート!$I52="念",補助シート!$I52="叩"),補助シート!AE52,IF(OR(補助シート!$J52="燃",補助シート!$J52="凍"),補助シート!AE64,ROUNDDOWN(補助シート!AE18*VLOOKUP($F38,敵技,7+$K$31,0),0)))))</f>
        <v>117</v>
      </c>
      <c r="AI38" s="199"/>
      <c r="AJ38" s="198">
        <f ca="1">IF(OR($B38="",AH$35="",$F38=""),"",IF($K$33="あり",IF(補助シート!$AR18="全体",$K$31,IF(補助シート!$AR18="３回",3,1)),1)*IF(AND(NOT(補助シート!$AQ18="回転"),NOT(補助シート!$I52="念"),NOT(補助シート!$I52="叩"),NOT(補助シート!$J52="燃"),NOT(補助シート!$J52="凍")),MAX(IF(補助シート!$I20="なし",1,0),ROUNDDOWN(IF(補助シート!AG$9="あり",0.5,1)*ROUNDDOWN(IF(補助シート!$I18="なし",1,補助シート!AG41)*(ROUNDDOWN(IF(AND(補助シート!AG$9="大防御",NOT(補助シート!$J41="高")),0.1,1)*ROUNDDOWN(IF(AND(補助シート!AE$7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AG$6=1,補助シート!$AQ18="隊列"))),2,1)*ROUNDDOWN(HLOOKUP(補助シート!AG$6,敵隊列,MATCH($F38,敵技リスト,0)+1)*(IF(補助シート!$J18="物理",補助シート!AG18,IF(補助シート!$J18="魔",補助シート!AG86,VLOOKUP($F38,敵技,3,0)))),0)),0)),0)-IF(OR(補助シート!$J18="魔",補助シート!$I18="なし",補助シート!$I18="念",補助シート!$I18="叩"),0,HLOOKUP(補助シート!$I18,味方耐性,補助シート!AG$12,0)),0)),0),0)),IF(OR(補助シート!$I52="念",補助シート!$I52="叩"),補助シート!AG52,IF(OR(補助シート!$J52="燃",補助シート!$J52="凍"),補助シート!AG64,ROUNDDOWN(補助シート!AG18*VLOOKUP($F38,敵技,7+$K$31,0),0)))))</f>
        <v>137</v>
      </c>
      <c r="AK38" s="199"/>
      <c r="AL38" s="198">
        <f ca="1">IF(OR($B38="",AL$35="",$F38=""),"",IF($K$33="あり",IF(補助シート!$AR18="全体",$K$31,IF(補助シート!$AR18="３回",3,1)),1)*IF(AND(NOT(補助シート!$AQ18="回転"),NOT(補助シート!$I52="念"),NOT(補助シート!$I52="叩"),NOT(補助シート!$J52="燃"),NOT(補助シート!$J52="凍")),MAX(0,ROUNDDOWN(IF(補助シート!AI$9="あり",0.5,1)*ROUNDDOWN(IF(補助シート!$I18="なし",1,補助シート!AI41)*(ROUNDDOWN(IF(AND(補助シート!AI$9="大防御",NOT(補助シート!$J41="高")),0.1,1)*ROUNDDOWN(IF(AND(補助シート!AI$7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AI$6=1,補助シート!$AQ18="隊列"))),2,1)*ROUNDDOWN(HLOOKUP(補助シート!AI$6,敵隊列,MATCH($F38,敵技リスト,0)+1)*(IF(補助シート!$J18="物理",補助シート!AI18,IF(補助シート!$J18="魔",補助シート!AI86,VLOOKUP($F38,敵技,2,0)))),0)),0)),0)-IF(OR(補助シート!$J18="魔",補助シート!$I18="なし",補助シート!$I18="念",補助シート!$I18="叩"),0,HLOOKUP(補助シート!$I18,味方耐性,補助シート!AI$12,0)),0)),0),0)),IF(OR(補助シート!$I52="念",補助シート!$I52="叩"),補助シート!AI52,IF(OR(補助シート!$J52="燃",補助シート!$J52="凍"),補助シート!AI64,ROUNDDOWN(補助シート!AI18*VLOOKUP($F38,敵技,7+$K$31,0),0)))))</f>
        <v>95</v>
      </c>
      <c r="AM38" s="199"/>
      <c r="AN38" s="198">
        <f ca="1">IF(OR($B38="",AL$35="",$F38=""),"",IF($K$33="あり",IF(補助シート!$AR18="全体",$K$31,IF(補助シート!$AR18="３回",3,1)),1)*IF(AND(NOT(補助シート!$AQ18="回転"),NOT(補助シート!$I52="念"),NOT(補助シート!$I52="叩"),NOT(補助シート!$J52="燃"),NOT(補助シート!$J52="凍")),MAX(IF(補助シート!$I20="なし",1,0),ROUNDDOWN(IF(補助シート!AK$9="あり",0.5,1)*ROUNDDOWN(IF(補助シート!$I18="なし",1,補助シート!AK41)*(ROUNDDOWN(IF(AND(補助シート!AK$9="大防御",NOT(補助シート!$J41="高")),0.1,1)*ROUNDDOWN(IF(AND(補助シート!AI$7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AK$6=1,補助シート!$AQ18="隊列"))),2,1)*ROUNDDOWN(HLOOKUP(補助シート!AK$6,敵隊列,MATCH($F38,敵技リスト,0)+1)*(IF(補助シート!$J18="物理",補助シート!AK18,IF(補助シート!$J18="魔",補助シート!AK86,VLOOKUP($F38,敵技,3,0)))),0)),0)),0)-IF(OR(補助シート!$J18="魔",補助シート!$I18="なし",補助シート!$I18="念",補助シート!$I18="叩"),0,HLOOKUP(補助シート!$I18,味方耐性,補助シート!AK$12,0)),0)),0),0)),IF(OR(補助シート!$I52="念",補助シート!$I52="叩"),補助シート!AK52,IF(OR(補助シート!$J52="燃",補助シート!$J52="凍"),補助シート!AK64,ROUNDDOWN(補助シート!AK18*VLOOKUP($F38,敵技,7+$K$31,0),0)))))</f>
        <v>115</v>
      </c>
      <c r="AO38" s="199"/>
      <c r="AP38" s="198">
        <f ca="1">IF(OR($B38="",AP$35="",$F38=""),"",IF($K$33="あり",IF(補助シート!$AR18="全体",$K$31,IF(補助シート!$AR18="３回",3,1)),1)*IF(AND(NOT(補助シート!$AQ18="回転"),NOT(補助シート!$I52="念"),NOT(補助シート!$I52="叩"),NOT(補助シート!$J52="燃"),NOT(補助シート!$J52="凍")),MAX(0,ROUNDDOWN(IF(補助シート!AM$9="あり",0.5,1)*ROUNDDOWN(IF(補助シート!$I18="なし",1,補助シート!AM41)*(ROUNDDOWN(IF(AND(補助シート!AM$9="大防御",NOT(補助シート!$J41="高")),0.1,1)*ROUNDDOWN(IF(AND(補助シート!AM$7="あり",OR(補助シート!$I18="炎",補助シート!$I18="雪")),0.5,1)*(ROUNDDOWN(IF(AND(OR(補助シート!$J18="物理",補助シート!$J18="魔"),$L38="あり",NOT(補助シート!$AQ18="倍無")),補助シート!$F$45,1)*(IF(AND(OR(補助シート!$J18="物理",補助シート!$J18="魔"),$J38="あり",NOT(補助シート!$AQ18="倍無"),OR(NOT(補助シート!$AQ18="隊列"),AND(補助シート!AM$6=1,補助シート!$AQ18="隊列"))),2,1)*ROUNDDOWN(HLOOKUP(補助シート!AM$6,敵隊列,MATCH($F38,敵技リスト,0)+1)*(IF(補助シート!$J18="物理",補助シート!AM18,IF(補助シート!$J18="魔",補助シート!AM86,VLOOKUP($F38,敵技,2,0)))),0)),0)),0)-IF(OR(補助シート!$J18="魔",補助シート!$I18="なし",補助シート!$I18="念",補助シート!$I18="叩"),0,HLOOKUP(補助シート!$I18,味方耐性,補助シート!AM$12,0)),0)),0),0)),IF(OR(補助シート!$I52="念",補助シート!$I52="叩"),補助シート!AM52,IF(OR(補助シート!$J52="燃",補助シート!$J52="凍"),補助シート!AM64,ROUNDDOWN(補助シート!AM18*VLOOKUP($F38,敵技,7+$K$31,0),0)))))</f>
        <v>75</v>
      </c>
      <c r="AQ38" s="199"/>
      <c r="AR38" s="198">
        <f ca="1">IF(OR($B38="",AP$35="",$F38=""),"",IF($K$33="あり",IF(補助シート!$AR18="全体",$K$31,IF(補助シート!$AR18="３回",3,1)),1)*IF(AND(NOT(補助シート!$AQ18="回転"),NOT(補助シート!$I52="念"),NOT(補助シート!$I52="叩"),NOT(補助シート!$J52="燃"),NOT(補助シート!$J52="凍")),MAX(IF(補助シート!$I20="なし",1,0),ROUNDDOWN(IF(補助シート!AO$9="あり",0.5,1)*ROUNDDOWN(IF(補助シート!$I18="なし",1,補助シート!AO41)*(ROUNDDOWN(IF(AND(補助シート!AO$9="大防御",NOT(補助シート!$J41="高")),0.1,1)*ROUNDDOWN(IF(AND(補助シート!AM$7="あり",OR(補助シート!$I18="炎",補助シート!$I18="雪")),0.5,1)*(ROUNDDOWN(IF(AND(OR(補助シート!$J18="物理",補助シート!$J18="魔"),$L38="あり",NOT(補助シート!$AQ18="倍無")),補助シート!$F$46,1)*(IF(AND(OR(補助シート!$J18="物理",補助シート!$J18="魔"),$J38="あり",NOT(補助シート!$AQ18="倍無"),OR(NOT(補助シート!$AQ18="隊列"),AND(補助シート!AO$6=1,補助シート!$AQ18="隊列"))),2,1)*ROUNDDOWN(HLOOKUP(補助シート!AO$6,敵隊列,MATCH($F38,敵技リスト,0)+1)*(IF(補助シート!$J18="物理",補助シート!AO18,IF(補助シート!$J18="魔",補助シート!AO86,VLOOKUP($F38,敵技,3,0)))),0)),0)),0)-IF(OR(補助シート!$J18="魔",補助シート!$I18="なし",補助シート!$I18="念",補助シート!$I18="叩"),0,HLOOKUP(補助シート!$I18,味方耐性,補助シート!AO$12,0)),0)),0),0)),IF(OR(補助シート!$I52="念",補助シート!$I52="叩"),補助シート!AO52,IF(OR(補助シート!$J52="燃",補助シート!$J52="凍"),補助シート!AO64,ROUNDDOWN(補助シート!AO18*VLOOKUP($F38,敵技,7+$K$31,0),0)))))</f>
        <v>95</v>
      </c>
      <c r="AS38" s="199"/>
      <c r="AT38" s="64"/>
      <c r="AU38" s="72"/>
    </row>
    <row r="39" spans="1:47" x14ac:dyDescent="0.15">
      <c r="A39" s="70"/>
      <c r="B39" s="196" t="str">
        <f t="shared" ca="1" si="1"/>
        <v>デスタムーア3</v>
      </c>
      <c r="C39" s="197"/>
      <c r="D39" s="197"/>
      <c r="E39" s="200"/>
      <c r="F39" s="183" t="s">
        <v>943</v>
      </c>
      <c r="G39" s="184"/>
      <c r="H39" s="184"/>
      <c r="I39" s="185"/>
      <c r="J39" s="189" t="s">
        <v>466</v>
      </c>
      <c r="K39" s="190"/>
      <c r="L39" s="189" t="s">
        <v>466</v>
      </c>
      <c r="M39" s="190"/>
      <c r="N39" s="198">
        <f ca="1">IF(OR($B39="",N$35="",$F39=""),"",IF($K$33="あり",IF(補助シート!$AR19="全体",$K$31,IF(補助シート!$AR19="３回",3,1)),1)*IF(AND(NOT(補助シート!$AQ19="回転"),NOT(補助シート!$I53="念"),NOT(補助シート!$I53="叩"),NOT(補助シート!$J53="燃"),NOT(補助シート!$J53="凍")),MAX(0,ROUNDDOWN(IF(補助シート!K$9="あり",0.5,1)*ROUNDDOWN(IF(補助シート!$I19="なし",1,補助シート!K42)*(ROUNDDOWN(IF(AND(補助シート!K$9="大防御",NOT(補助シート!$J42="高")),0.1,1)*ROUNDDOWN(IF(AND(補助シート!K$7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K$6=1,補助シート!$AQ19="隊列"))),2,1)*ROUNDDOWN(HLOOKUP(補助シート!K$6,敵隊列,MATCH($F39,敵技リスト,0)+1)*(IF(補助シート!$J19="物理",補助シート!K19,IF(補助シート!$J19="魔",補助シート!K87,VLOOKUP($F39,敵技,2,0)))),0)),0)),0)-IF(OR(補助シート!$J19="魔",補助シート!$I19="なし",補助シート!$I19="念",補助シート!$I19="叩"),0,HLOOKUP(補助シート!$I19,味方耐性,補助シート!K$12,0)),0)),0),0)),IF(OR(補助シート!$I53="念",補助シート!$I53="叩"),補助シート!K53,IF(OR(補助シート!$J53="燃",補助シート!$J53="凍"),補助シート!K65,ROUNDDOWN(補助シート!K19*VLOOKUP($F39,敵技,7+$K$31,0),0)))))</f>
        <v>60</v>
      </c>
      <c r="O39" s="199"/>
      <c r="P39" s="198">
        <f ca="1">IF(OR($B39="",N$35="",$F39=""),"",IF($K$33="あり",IF(補助シート!$AR19="全体",$K$31,IF(補助シート!$AR19="３回",3,1)),1)*IF(AND(NOT(補助シート!$AQ19="回転"),NOT(補助シート!$I53="念"),NOT(補助シート!$I53="叩"),NOT(補助シート!$J53="燃"),NOT(補助シート!$J53="凍")),MAX(IF(補助シート!$I21="なし",1,0),ROUNDDOWN(IF(補助シート!M$9="あり",0.5,1)*ROUNDDOWN(IF(補助シート!$I19="なし",1,補助シート!M42)*(ROUNDDOWN(IF(AND(補助シート!M$9="大防御",NOT(補助シート!$J42="高")),0.1,1)*ROUNDDOWN(IF(AND(補助シート!K$7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M$6=1,補助シート!$AQ19="隊列"))),2,1)*ROUNDDOWN(HLOOKUP(補助シート!M$6,敵隊列,MATCH($F39,敵技リスト,0)+1)*(IF(補助シート!$J19="物理",補助シート!M19,IF(補助シート!$J19="魔",補助シート!M87,VLOOKUP($F39,敵技,3,0)))),0)),0)),0)-IF(OR(補助シート!$J19="魔",補助シート!$I19="なし",補助シート!$I19="念",補助シート!$I19="叩"),0,HLOOKUP(補助シート!$I19,味方耐性,補助シート!M$12,0)),0)),0),0)),IF(OR(補助シート!$I53="念",補助シート!$I53="叩"),補助シート!M53,IF(OR(補助シート!$J53="燃",補助シート!$J53="凍"),補助シート!M65,ROUNDDOWN(補助シート!M19*VLOOKUP($F39,敵技,7+$K$31,0),0)))))</f>
        <v>80</v>
      </c>
      <c r="Q39" s="199"/>
      <c r="R39" s="198">
        <f ca="1">IF(OR($B39="",R$35="",$F39=""),"",IF($K$33="あり",IF(補助シート!$AR19="全体",$K$31,IF(補助シート!$AR19="３回",3,1)),1)*IF(AND(NOT(補助シート!$AQ19="回転"),NOT(補助シート!$I53="念"),NOT(補助シート!$I53="叩"),NOT(補助シート!$J53="燃"),NOT(補助シート!$J53="凍")),MAX(0,ROUNDDOWN(IF(補助シート!O$9="あり",0.5,1)*ROUNDDOWN(IF(補助シート!$I19="なし",1,補助シート!O42)*(ROUNDDOWN(IF(AND(補助シート!O$9="大防御",NOT(補助シート!$J42="高")),0.1,1)*ROUNDDOWN(IF(AND(補助シート!O$7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O$6=1,補助シート!$AQ19="隊列"))),2,1)*ROUNDDOWN(HLOOKUP(補助シート!O$6,敵隊列,MATCH($F39,敵技リスト,0)+1)*(IF(補助シート!$J19="物理",補助シート!O19,IF(補助シート!$J19="魔",補助シート!O87,VLOOKUP($F39,敵技,2,0)))),0)),0)),0)-IF(OR(補助シート!$J19="魔",補助シート!$I19="なし",補助シート!$I19="念",補助シート!$I19="叩"),0,HLOOKUP(補助シート!$I19,味方耐性,補助シート!O$12,0)),0)),0),0)),IF(OR(補助シート!$I53="念",補助シート!$I53="叩"),補助シート!O53,IF(OR(補助シート!$J53="燃",補助シート!$J53="凍"),補助シート!O65,ROUNDDOWN(補助シート!O19*VLOOKUP($F39,敵技,7+$K$31,0),0)))))</f>
        <v>80</v>
      </c>
      <c r="S39" s="199"/>
      <c r="T39" s="198">
        <f ca="1">IF(OR($B39="",R$35="",$F39=""),"",IF($K$33="あり",IF(補助シート!$AR19="全体",$K$31,IF(補助シート!$AR19="３回",3,1)),1)*IF(AND(NOT(補助シート!$AQ19="回転"),NOT(補助シート!$I53="念"),NOT(補助シート!$I53="叩"),NOT(補助シート!$J53="燃"),NOT(補助シート!$J53="凍")),MAX(IF(補助シート!$I21="なし",1,0),ROUNDDOWN(IF(補助シート!Q$9="あり",0.5,1)*ROUNDDOWN(IF(補助シート!$I19="なし",1,補助シート!Q42)*(ROUNDDOWN(IF(AND(補助シート!Q$9="大防御",NOT(補助シート!$J42="高")),0.1,1)*ROUNDDOWN(IF(AND(補助シート!O$7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Q$6=1,補助シート!$AQ19="隊列"))),2,1)*ROUNDDOWN(HLOOKUP(補助シート!Q$6,敵隊列,MATCH($F39,敵技リスト,0)+1)*(IF(補助シート!$J19="物理",補助シート!Q19,IF(補助シート!$J19="魔",補助シート!Q87,VLOOKUP($F39,敵技,3,0)))),0)),0)),0)-IF(OR(補助シート!$J19="魔",補助シート!$I19="なし",補助シート!$I19="念",補助シート!$I19="叩"),0,HLOOKUP(補助シート!$I19,味方耐性,補助シート!Q$12,0)),0)),0),0)),IF(OR(補助シート!$I53="念",補助シート!$I53="叩"),補助シート!Q53,IF(OR(補助シート!$J53="燃",補助シート!$J53="凍"),補助シート!Q65,ROUNDDOWN(補助シート!Q19*VLOOKUP($F39,敵技,7+$K$31,0),0)))))</f>
        <v>100</v>
      </c>
      <c r="U39" s="199"/>
      <c r="V39" s="198">
        <f ca="1">IF(OR($B39="",V$35="",$F39=""),"",IF($K$33="あり",IF(補助シート!$AR19="全体",$K$31,IF(補助シート!$AR19="３回",3,1)),1)*IF(AND(NOT(補助シート!$AQ19="回転"),NOT(補助シート!$I53="念"),NOT(補助シート!$I53="叩"),NOT(補助シート!$J53="燃"),NOT(補助シート!$J53="凍")),MAX(0,ROUNDDOWN(IF(補助シート!S$9="あり",0.5,1)*ROUNDDOWN(IF(補助シート!$I19="なし",1,補助シート!S42)*(ROUNDDOWN(IF(AND(補助シート!S$9="大防御",NOT(補助シート!$J42="高")),0.1,1)*ROUNDDOWN(IF(AND(補助シート!S$7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S$6=1,補助シート!$AQ19="隊列"))),2,1)*ROUNDDOWN(HLOOKUP(補助シート!S$6,敵隊列,MATCH($F39,敵技リスト,0)+1)*(IF(補助シート!$J19="物理",補助シート!S19,IF(補助シート!$J19="魔",補助シート!S87,VLOOKUP($F39,敵技,2,0)))),0)),0)),0)-IF(OR(補助シート!$J19="魔",補助シート!$I19="なし",補助シート!$I19="念",補助シート!$I19="叩"),0,HLOOKUP(補助シート!$I19,味方耐性,補助シート!S$12,0)),0)),0),0)),IF(OR(補助シート!$I53="念",補助シート!$I53="叩"),補助シート!S53,IF(OR(補助シート!$J53="燃",補助シート!$J53="凍"),補助シート!S65,ROUNDDOWN(補助シート!S19*VLOOKUP($F39,敵技,7+$K$31,0),0)))))</f>
        <v>95</v>
      </c>
      <c r="W39" s="199"/>
      <c r="X39" s="198">
        <f ca="1">IF(OR($B39="",V$35="",$F39=""),"",IF($K$33="あり",IF(補助シート!$AR19="全体",$K$31,IF(補助シート!$AR19="３回",3,1)),1)*IF(AND(NOT(補助シート!$AQ19="回転"),NOT(補助シート!$I53="念"),NOT(補助シート!$I53="叩"),NOT(補助シート!$J53="燃"),NOT(補助シート!$J53="凍")),MAX(IF(補助シート!$I21="なし",1,0),ROUNDDOWN(IF(補助シート!U$9="あり",0.5,1)*ROUNDDOWN(IF(補助シート!$I19="なし",1,補助シート!U42)*(ROUNDDOWN(IF(AND(補助シート!U$9="大防御",NOT(補助シート!$J42="高")),0.1,1)*ROUNDDOWN(IF(AND(補助シート!S$7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U$6=1,補助シート!$AQ19="隊列"))),2,1)*ROUNDDOWN(HLOOKUP(補助シート!U$6,敵隊列,MATCH($F39,敵技リスト,0)+1)*(IF(補助シート!$J19="物理",補助シート!U19,IF(補助シート!$J19="魔",補助シート!U87,VLOOKUP($F39,敵技,3,0)))),0)),0)),0)-IF(OR(補助シート!$J19="魔",補助シート!$I19="なし",補助シート!$I19="念",補助シート!$I19="叩"),0,HLOOKUP(補助シート!$I19,味方耐性,補助シート!U$12,0)),0)),0),0)),IF(OR(補助シート!$I53="念",補助シート!$I53="叩"),補助シート!U53,IF(OR(補助シート!$J53="燃",補助シート!$J53="凍"),補助シート!U65,ROUNDDOWN(補助シート!U19*VLOOKUP($F39,敵技,7+$K$31,0),0)))))</f>
        <v>115</v>
      </c>
      <c r="Y39" s="199"/>
      <c r="Z39" s="198">
        <f ca="1">IF(OR($B39="",Z$35="",$F39=""),"",IF($K$33="あり",IF(補助シート!$AR19="全体",$K$31,IF(補助シート!$AR19="３回",3,1)),1)*IF(AND(NOT(補助シート!$AQ19="回転"),NOT(補助シート!$I53="念"),NOT(補助シート!$I53="叩"),NOT(補助シート!$J53="燃"),NOT(補助シート!$J53="凍")),MAX(0,ROUNDDOWN(IF(補助シート!W$9="あり",0.5,1)*ROUNDDOWN(IF(補助シート!$I19="なし",1,補助シート!W42)*(ROUNDDOWN(IF(AND(補助シート!W$9="大防御",NOT(補助シート!$J42="高")),0.1,1)*ROUNDDOWN(IF(AND(補助シート!W$7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W$6=1,補助シート!$AQ19="隊列"))),2,1)*ROUNDDOWN(HLOOKUP(補助シート!W$6,敵隊列,MATCH($F39,敵技リスト,0)+1)*(IF(補助シート!$J19="物理",補助シート!W19,IF(補助シート!$J19="魔",補助シート!W87,VLOOKUP($F39,敵技,2,0)))),0)),0)),0)-IF(OR(補助シート!$J19="魔",補助シート!$I19="なし",補助シート!$I19="念",補助シート!$I19="叩"),0,HLOOKUP(補助シート!$I19,味方耐性,補助シート!W$12,0)),0)),0),0)),IF(OR(補助シート!$I53="念",補助シート!$I53="叩"),補助シート!W53,IF(OR(補助シート!$J53="燃",補助シート!$J53="凍"),補助シート!W65,ROUNDDOWN(補助シート!W19*VLOOKUP($F39,敵技,7+$K$31,0),0)))))</f>
        <v>66</v>
      </c>
      <c r="AA39" s="199"/>
      <c r="AB39" s="198">
        <f ca="1">IF(OR($B39="",Z$35="",$F39=""),"",IF($K$33="あり",IF(補助シート!$AR19="全体",$K$31,IF(補助シート!$AR19="３回",3,1)),1)*IF(AND(NOT(補助シート!$AQ19="回転"),NOT(補助シート!$I53="念"),NOT(補助シート!$I53="叩"),NOT(補助シート!$J53="燃"),NOT(補助シート!$J53="凍")),MAX(IF(補助シート!$I21="なし",1,0),ROUNDDOWN(IF(補助シート!Y$9="あり",0.5,1)*ROUNDDOWN(IF(補助シート!$I19="なし",1,補助シート!Y42)*(ROUNDDOWN(IF(AND(補助シート!Y$9="大防御",NOT(補助シート!$J42="高")),0.1,1)*ROUNDDOWN(IF(AND(補助シート!W$7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Y$6=1,補助シート!$AQ19="隊列"))),2,1)*ROUNDDOWN(HLOOKUP(補助シート!Y$6,敵隊列,MATCH($F39,敵技リスト,0)+1)*(IF(補助シート!$J19="物理",補助シート!Y19,IF(補助シート!$J19="魔",補助シート!Y87,VLOOKUP($F39,敵技,3,0)))),0)),0)),0)-IF(OR(補助シート!$J19="魔",補助シート!$I19="なし",補助シート!$I19="念",補助シート!$I19="叩"),0,HLOOKUP(補助シート!$I19,味方耐性,補助シート!Y$12,0)),0)),0),0)),IF(OR(補助シート!$I53="念",補助シート!$I53="叩"),補助シート!Y53,IF(OR(補助シート!$J53="燃",補助シート!$J53="凍"),補助シート!Y65,ROUNDDOWN(補助シート!Y19*VLOOKUP($F39,敵技,7+$K$31,0),0)))))</f>
        <v>79</v>
      </c>
      <c r="AC39" s="199"/>
      <c r="AD39" s="198">
        <f ca="1">IF(OR($B39="",AD$35="",$F39=""),"",IF($K$33="あり",IF(補助シート!$AR19="全体",$K$31,IF(補助シート!$AR19="３回",3,1)),1)*IF(AND(NOT(補助シート!$AQ19="回転"),NOT(補助シート!$I53="念"),NOT(補助シート!$I53="叩"),NOT(補助シート!$J53="燃"),NOT(補助シート!$J53="凍")),MAX(0,ROUNDDOWN(IF(補助シート!AA$9="あり",0.5,1)*ROUNDDOWN(IF(補助シート!$I19="なし",1,補助シート!AA42)*(ROUNDDOWN(IF(AND(補助シート!AA$9="大防御",NOT(補助シート!$J42="高")),0.1,1)*ROUNDDOWN(IF(AND(補助シート!AA$7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AA$6=1,補助シート!$AQ19="隊列"))),2,1)*ROUNDDOWN(HLOOKUP(補助シート!AA$6,敵隊列,MATCH($F39,敵技リスト,0)+1)*(IF(補助シート!$J19="物理",補助シート!AA19,IF(補助シート!$J19="魔",補助シート!AA87,VLOOKUP($F39,敵技,2,0)))),0)),0)),0)-IF(OR(補助シート!$J19="魔",補助シート!$I19="なし",補助シート!$I19="念",補助シート!$I19="叩"),0,HLOOKUP(補助シート!$I19,味方耐性,補助シート!AA$12,0)),0)),0),0)),IF(OR(補助シート!$I53="念",補助シート!$I53="叩"),補助シート!AA53,IF(OR(補助シート!$J53="燃",補助シート!$J53="凍"),補助シート!AA65,ROUNDDOWN(補助シート!AA19*VLOOKUP($F39,敵技,7+$K$31,0),0)))))</f>
        <v>95</v>
      </c>
      <c r="AE39" s="199"/>
      <c r="AF39" s="198">
        <f ca="1">IF(OR($B39="",AD$35="",$F39=""),"",IF($K$33="あり",IF(補助シート!$AR19="全体",$K$31,IF(補助シート!$AR19="３回",3,1)),1)*IF(AND(NOT(補助シート!$AQ19="回転"),NOT(補助シート!$I53="念"),NOT(補助シート!$I53="叩"),NOT(補助シート!$J53="燃"),NOT(補助シート!$J53="凍")),MAX(IF(補助シート!$I21="なし",1,0),ROUNDDOWN(IF(補助シート!AC$9="あり",0.5,1)*ROUNDDOWN(IF(補助シート!$I19="なし",1,補助シート!AC42)*(ROUNDDOWN(IF(AND(補助シート!AC$9="大防御",NOT(補助シート!$J42="高")),0.1,1)*ROUNDDOWN(IF(AND(補助シート!AA$7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AC$6=1,補助シート!$AQ19="隊列"))),2,1)*ROUNDDOWN(HLOOKUP(補助シート!AC$6,敵隊列,MATCH($F39,敵技リスト,0)+1)*(IF(補助シート!$J19="物理",補助シート!AC19,IF(補助シート!$J19="魔",補助シート!AC87,VLOOKUP($F39,敵技,3,0)))),0)),0)),0)-IF(OR(補助シート!$J19="魔",補助シート!$I19="なし",補助シート!$I19="念",補助シート!$I19="叩"),0,HLOOKUP(補助シート!$I19,味方耐性,補助シート!AC$12,0)),0)),0),0)),IF(OR(補助シート!$I53="念",補助シート!$I53="叩"),補助シート!AC53,IF(OR(補助シート!$J53="燃",補助シート!$J53="凍"),補助シート!AC65,ROUNDDOWN(補助シート!AC19*VLOOKUP($F39,敵技,7+$K$31,0),0)))))</f>
        <v>115</v>
      </c>
      <c r="AG39" s="199"/>
      <c r="AH39" s="198">
        <f ca="1">IF(OR($B39="",AH$35="",$F39=""),"",IF($K$33="あり",IF(補助シート!$AR19="全体",$K$31,IF(補助シート!$AR19="３回",3,1)),1)*IF(AND(NOT(補助シート!$AQ19="回転"),NOT(補助シート!$I53="念"),NOT(補助シート!$I53="叩"),NOT(補助シート!$J53="燃"),NOT(補助シート!$J53="凍")),MAX(0,ROUNDDOWN(IF(補助シート!AE$9="あり",0.5,1)*ROUNDDOWN(IF(補助シート!$I19="なし",1,補助シート!AE42)*(ROUNDDOWN(IF(AND(補助シート!AE$9="大防御",NOT(補助シート!$J42="高")),0.1,1)*ROUNDDOWN(IF(AND(補助シート!AE$7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AE$6=1,補助シート!$AQ19="隊列"))),2,1)*ROUNDDOWN(HLOOKUP(補助シート!AE$6,敵隊列,MATCH($F39,敵技リスト,0)+1)*(IF(補助シート!$J19="物理",補助シート!AE19,IF(補助シート!$J19="魔",補助シート!AE87,VLOOKUP($F39,敵技,2,0)))),0)),0)),0)-IF(OR(補助シート!$J19="魔",補助シート!$I19="なし",補助シート!$I19="念",補助シート!$I19="叩"),0,HLOOKUP(補助シート!$I19,味方耐性,補助シート!AE$12,0)),0)),0),0)),IF(OR(補助シート!$I53="念",補助シート!$I53="叩"),補助シート!AE53,IF(OR(補助シート!$J53="燃",補助シート!$J53="凍"),補助シート!AE65,ROUNDDOWN(補助シート!AE19*VLOOKUP($F39,敵技,7+$K$31,0),0)))))</f>
        <v>82</v>
      </c>
      <c r="AI39" s="199"/>
      <c r="AJ39" s="198">
        <f ca="1">IF(OR($B39="",AH$35="",$F39=""),"",IF($K$33="あり",IF(補助シート!$AR19="全体",$K$31,IF(補助シート!$AR19="３回",3,1)),1)*IF(AND(NOT(補助シート!$AQ19="回転"),NOT(補助シート!$I53="念"),NOT(補助シート!$I53="叩"),NOT(補助シート!$J53="燃"),NOT(補助シート!$J53="凍")),MAX(IF(補助シート!$I21="なし",1,0),ROUNDDOWN(IF(補助シート!AG$9="あり",0.5,1)*ROUNDDOWN(IF(補助シート!$I19="なし",1,補助シート!AG42)*(ROUNDDOWN(IF(AND(補助シート!AG$9="大防御",NOT(補助シート!$J42="高")),0.1,1)*ROUNDDOWN(IF(AND(補助シート!AE$7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AG$6=1,補助シート!$AQ19="隊列"))),2,1)*ROUNDDOWN(HLOOKUP(補助シート!AG$6,敵隊列,MATCH($F39,敵技リスト,0)+1)*(IF(補助シート!$J19="物理",補助シート!AG19,IF(補助シート!$J19="魔",補助シート!AG87,VLOOKUP($F39,敵技,3,0)))),0)),0)),0)-IF(OR(補助シート!$J19="魔",補助シート!$I19="なし",補助シート!$I19="念",補助シート!$I19="叩"),0,HLOOKUP(補助シート!$I19,味方耐性,補助シート!AG$12,0)),0)),0),0)),IF(OR(補助シート!$I53="念",補助シート!$I53="叩"),補助シート!AG53,IF(OR(補助シート!$J53="燃",補助シート!$J53="凍"),補助シート!AG65,ROUNDDOWN(補助シート!AG19*VLOOKUP($F39,敵技,7+$K$31,0),0)))))</f>
        <v>102</v>
      </c>
      <c r="AK39" s="199"/>
      <c r="AL39" s="198">
        <f ca="1">IF(OR($B39="",AL$35="",$F39=""),"",IF($K$33="あり",IF(補助シート!$AR19="全体",$K$31,IF(補助シート!$AR19="３回",3,1)),1)*IF(AND(NOT(補助シート!$AQ19="回転"),NOT(補助シート!$I53="念"),NOT(補助シート!$I53="叩"),NOT(補助シート!$J53="燃"),NOT(補助シート!$J53="凍")),MAX(0,ROUNDDOWN(IF(補助シート!AI$9="あり",0.5,1)*ROUNDDOWN(IF(補助シート!$I19="なし",1,補助シート!AI42)*(ROUNDDOWN(IF(AND(補助シート!AI$9="大防御",NOT(補助シート!$J42="高")),0.1,1)*ROUNDDOWN(IF(AND(補助シート!AI$7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AI$6=1,補助シート!$AQ19="隊列"))),2,1)*ROUNDDOWN(HLOOKUP(補助シート!AI$6,敵隊列,MATCH($F39,敵技リスト,0)+1)*(IF(補助シート!$J19="物理",補助シート!AI19,IF(補助シート!$J19="魔",補助シート!AI87,VLOOKUP($F39,敵技,2,0)))),0)),0)),0)-IF(OR(補助シート!$J19="魔",補助シート!$I19="なし",補助シート!$I19="念",補助シート!$I19="叩"),0,HLOOKUP(補助シート!$I19,味方耐性,補助シート!AI$12,0)),0)),0),0)),IF(OR(補助シート!$I53="念",補助シート!$I53="叩"),補助シート!AI53,IF(OR(補助シート!$J53="燃",補助シート!$J53="凍"),補助シート!AI65,ROUNDDOWN(補助シート!AI19*VLOOKUP($F39,敵技,7+$K$31,0),0)))))</f>
        <v>55</v>
      </c>
      <c r="AM39" s="199"/>
      <c r="AN39" s="198">
        <f ca="1">IF(OR($B39="",AL$35="",$F39=""),"",IF($K$33="あり",IF(補助シート!$AR19="全体",$K$31,IF(補助シート!$AR19="３回",3,1)),1)*IF(AND(NOT(補助シート!$AQ19="回転"),NOT(補助シート!$I53="念"),NOT(補助シート!$I53="叩"),NOT(補助シート!$J53="燃"),NOT(補助シート!$J53="凍")),MAX(IF(補助シート!$I21="なし",1,0),ROUNDDOWN(IF(補助シート!AK$9="あり",0.5,1)*ROUNDDOWN(IF(補助シート!$I19="なし",1,補助シート!AK42)*(ROUNDDOWN(IF(AND(補助シート!AK$9="大防御",NOT(補助シート!$J42="高")),0.1,1)*ROUNDDOWN(IF(AND(補助シート!AI$7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AK$6=1,補助シート!$AQ19="隊列"))),2,1)*ROUNDDOWN(HLOOKUP(補助シート!AK$6,敵隊列,MATCH($F39,敵技リスト,0)+1)*(IF(補助シート!$J19="物理",補助シート!AK19,IF(補助シート!$J19="魔",補助シート!AK87,VLOOKUP($F39,敵技,3,0)))),0)),0)),0)-IF(OR(補助シート!$J19="魔",補助シート!$I19="なし",補助シート!$I19="念",補助シート!$I19="叩"),0,HLOOKUP(補助シート!$I19,味方耐性,補助シート!AK$12,0)),0)),0),0)),IF(OR(補助シート!$I53="念",補助シート!$I53="叩"),補助シート!AK53,IF(OR(補助シート!$J53="燃",補助シート!$J53="凍"),補助シート!AK65,ROUNDDOWN(補助シート!AK19*VLOOKUP($F39,敵技,7+$K$31,0),0)))))</f>
        <v>75</v>
      </c>
      <c r="AO39" s="199"/>
      <c r="AP39" s="198">
        <f ca="1">IF(OR($B39="",AP$35="",$F39=""),"",IF($K$33="あり",IF(補助シート!$AR19="全体",$K$31,IF(補助シート!$AR19="３回",3,1)),1)*IF(AND(NOT(補助シート!$AQ19="回転"),NOT(補助シート!$I53="念"),NOT(補助シート!$I53="叩"),NOT(補助シート!$J53="燃"),NOT(補助シート!$J53="凍")),MAX(0,ROUNDDOWN(IF(補助シート!AM$9="あり",0.5,1)*ROUNDDOWN(IF(補助シート!$I19="なし",1,補助シート!AM42)*(ROUNDDOWN(IF(AND(補助シート!AM$9="大防御",NOT(補助シート!$J42="高")),0.1,1)*ROUNDDOWN(IF(AND(補助シート!AM$7="あり",OR(補助シート!$I19="炎",補助シート!$I19="雪")),0.5,1)*(ROUNDDOWN(IF(AND(OR(補助シート!$J19="物理",補助シート!$J19="魔"),$L39="あり",NOT(補助シート!$AQ19="倍無")),補助シート!$F$45,1)*(IF(AND(OR(補助シート!$J19="物理",補助シート!$J19="魔"),$J39="あり",NOT(補助シート!$AQ19="倍無"),OR(NOT(補助シート!$AQ19="隊列"),AND(補助シート!AM$6=1,補助シート!$AQ19="隊列"))),2,1)*ROUNDDOWN(HLOOKUP(補助シート!AM$6,敵隊列,MATCH($F39,敵技リスト,0)+1)*(IF(補助シート!$J19="物理",補助シート!AM19,IF(補助シート!$J19="魔",補助シート!AM87,VLOOKUP($F39,敵技,2,0)))),0)),0)),0)-IF(OR(補助シート!$J19="魔",補助シート!$I19="なし",補助シート!$I19="念",補助シート!$I19="叩"),0,HLOOKUP(補助シート!$I19,味方耐性,補助シート!AM$12,0)),0)),0),0)),IF(OR(補助シート!$I53="念",補助シート!$I53="叩"),補助シート!AM53,IF(OR(補助シート!$J53="燃",補助シート!$J53="凍"),補助シート!AM65,ROUNDDOWN(補助シート!AM19*VLOOKUP($F39,敵技,7+$K$31,0),0)))))</f>
        <v>65</v>
      </c>
      <c r="AQ39" s="199"/>
      <c r="AR39" s="198">
        <f ca="1">IF(OR($B39="",AP$35="",$F39=""),"",IF($K$33="あり",IF(補助シート!$AR19="全体",$K$31,IF(補助シート!$AR19="３回",3,1)),1)*IF(AND(NOT(補助シート!$AQ19="回転"),NOT(補助シート!$I53="念"),NOT(補助シート!$I53="叩"),NOT(補助シート!$J53="燃"),NOT(補助シート!$J53="凍")),MAX(IF(補助シート!$I21="なし",1,0),ROUNDDOWN(IF(補助シート!AO$9="あり",0.5,1)*ROUNDDOWN(IF(補助シート!$I19="なし",1,補助シート!AO42)*(ROUNDDOWN(IF(AND(補助シート!AO$9="大防御",NOT(補助シート!$J42="高")),0.1,1)*ROUNDDOWN(IF(AND(補助シート!AM$7="あり",OR(補助シート!$I19="炎",補助シート!$I19="雪")),0.5,1)*(ROUNDDOWN(IF(AND(OR(補助シート!$J19="物理",補助シート!$J19="魔"),$L39="あり",NOT(補助シート!$AQ19="倍無")),補助シート!$F$46,1)*(IF(AND(OR(補助シート!$J19="物理",補助シート!$J19="魔"),$J39="あり",NOT(補助シート!$AQ19="倍無"),OR(NOT(補助シート!$AQ19="隊列"),AND(補助シート!AO$6=1,補助シート!$AQ19="隊列"))),2,1)*ROUNDDOWN(HLOOKUP(補助シート!AO$6,敵隊列,MATCH($F39,敵技リスト,0)+1)*(IF(補助シート!$J19="物理",補助シート!AO19,IF(補助シート!$J19="魔",補助シート!AO87,VLOOKUP($F39,敵技,3,0)))),0)),0)),0)-IF(OR(補助シート!$J19="魔",補助シート!$I19="なし",補助シート!$I19="念",補助シート!$I19="叩"),0,HLOOKUP(補助シート!$I19,味方耐性,補助シート!AO$12,0)),0)),0),0)),IF(OR(補助シート!$I53="念",補助シート!$I53="叩"),補助シート!AO53,IF(OR(補助シート!$J53="燃",補助シート!$J53="凍"),補助シート!AO65,ROUNDDOWN(補助シート!AO19*VLOOKUP($F39,敵技,7+$K$31,0),0)))))</f>
        <v>85</v>
      </c>
      <c r="AS39" s="199"/>
      <c r="AT39" s="64"/>
      <c r="AU39" s="72"/>
    </row>
    <row r="40" spans="1:47" x14ac:dyDescent="0.15">
      <c r="A40" s="70"/>
      <c r="B40" s="196" t="str">
        <f t="shared" ca="1" si="1"/>
        <v>デスタムーア3</v>
      </c>
      <c r="C40" s="197"/>
      <c r="D40" s="197"/>
      <c r="E40" s="200"/>
      <c r="F40" s="183" t="s">
        <v>497</v>
      </c>
      <c r="G40" s="184"/>
      <c r="H40" s="184"/>
      <c r="I40" s="185"/>
      <c r="J40" s="189" t="s">
        <v>466</v>
      </c>
      <c r="K40" s="190"/>
      <c r="L40" s="189" t="s">
        <v>466</v>
      </c>
      <c r="M40" s="190"/>
      <c r="N40" s="198">
        <f ca="1">IF(OR($B40="",N$35="",$F40=""),"",IF($K$33="あり",IF(補助シート!$AR20="全体",$K$31,IF(補助シート!$AR20="３回",3,1)),1)*IF(AND(NOT(補助シート!$AQ20="回転"),NOT(補助シート!$I54="念"),NOT(補助シート!$I54="叩"),NOT(補助シート!$J54="燃"),NOT(補助シート!$J54="凍")),MAX(0,ROUNDDOWN(IF(補助シート!K$9="あり",0.5,1)*ROUNDDOWN(IF(補助シート!$I20="なし",1,補助シート!K43)*(ROUNDDOWN(IF(AND(補助シート!K$9="大防御",NOT(補助シート!$J43="高")),0.1,1)*ROUNDDOWN(IF(AND(補助シート!K$7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K$6=1,補助シート!$AQ20="隊列"))),2,1)*ROUNDDOWN(HLOOKUP(補助シート!K$6,敵隊列,MATCH($F40,敵技リスト,0)+1)*(IF(補助シート!$J20="物理",補助シート!K20,IF(補助シート!$J20="魔",補助シート!K88,VLOOKUP($F40,敵技,2,0)))),0)),0)),0)-IF(OR(補助シート!$J20="魔",補助シート!$I20="なし",補助シート!$I20="念",補助シート!$I20="叩"),0,HLOOKUP(補助シート!$I20,味方耐性,補助シート!K$12,0)),0)),0),0)),IF(OR(補助シート!$I54="念",補助シート!$I54="叩"),補助シート!K54,IF(OR(補助シート!$J54="燃",補助シート!$J54="凍"),補助シート!K66,ROUNDDOWN(補助シート!K20*VLOOKUP($F40,敵技,7+$K$31,0),0)))))</f>
        <v>135</v>
      </c>
      <c r="O40" s="199"/>
      <c r="P40" s="198">
        <f ca="1">IF(OR($B40="",N$35="",$F40=""),"",IF($K$33="あり",IF(補助シート!$AR20="全体",$K$31,IF(補助シート!$AR20="３回",3,1)),1)*IF(AND(NOT(補助シート!$AQ20="回転"),NOT(補助シート!$I54="念"),NOT(補助シート!$I54="叩"),NOT(補助シート!$J54="燃"),NOT(補助シート!$J54="凍")),MAX(IF(補助シート!$I22="なし",1,0),ROUNDDOWN(IF(補助シート!M$9="あり",0.5,1)*ROUNDDOWN(IF(補助シート!$I20="なし",1,補助シート!M43)*(ROUNDDOWN(IF(AND(補助シート!M$9="大防御",NOT(補助シート!$J43="高")),0.1,1)*ROUNDDOWN(IF(AND(補助シート!K$7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M$6=1,補助シート!$AQ20="隊列"))),2,1)*ROUNDDOWN(HLOOKUP(補助シート!M$6,敵隊列,MATCH($F40,敵技リスト,0)+1)*(IF(補助シート!$J20="物理",補助シート!M20,IF(補助シート!$J20="魔",補助シート!M88,VLOOKUP($F40,敵技,3,0)))),0)),0)),0)-IF(OR(補助シート!$J20="魔",補助シート!$I20="なし",補助シート!$I20="念",補助シート!$I20="叩"),0,HLOOKUP(補助シート!$I20,味方耐性,補助シート!M$12,0)),0)),0),0)),IF(OR(補助シート!$I54="念",補助シート!$I54="叩"),補助シート!M54,IF(OR(補助シート!$J54="燃",補助シート!$J54="凍"),補助シート!M66,ROUNDDOWN(補助シート!M20*VLOOKUP($F40,敵技,7+$K$31,0),0)))))</f>
        <v>155</v>
      </c>
      <c r="Q40" s="199"/>
      <c r="R40" s="198">
        <f ca="1">IF(OR($B40="",R$35="",$F40=""),"",IF($K$33="あり",IF(補助シート!$AR20="全体",$K$31,IF(補助シート!$AR20="３回",3,1)),1)*IF(AND(NOT(補助シート!$AQ20="回転"),NOT(補助シート!$I54="念"),NOT(補助シート!$I54="叩"),NOT(補助シート!$J54="燃"),NOT(補助シート!$J54="凍")),MAX(0,ROUNDDOWN(IF(補助シート!O$9="あり",0.5,1)*ROUNDDOWN(IF(補助シート!$I20="なし",1,補助シート!O43)*(ROUNDDOWN(IF(AND(補助シート!O$9="大防御",NOT(補助シート!$J43="高")),0.1,1)*ROUNDDOWN(IF(AND(補助シート!O$7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O$6=1,補助シート!$AQ20="隊列"))),2,1)*ROUNDDOWN(HLOOKUP(補助シート!O$6,敵隊列,MATCH($F40,敵技リスト,0)+1)*(IF(補助シート!$J20="物理",補助シート!O20,IF(補助シート!$J20="魔",補助シート!O88,VLOOKUP($F40,敵技,2,0)))),0)),0)),0)-IF(OR(補助シート!$J20="魔",補助シート!$I20="なし",補助シート!$I20="念",補助シート!$I20="叩"),0,HLOOKUP(補助シート!$I20,味方耐性,補助シート!O$12,0)),0)),0),0)),IF(OR(補助シート!$I54="念",補助シート!$I54="叩"),補助シート!O54,IF(OR(補助シート!$J54="燃",補助シート!$J54="凍"),補助シート!O66,ROUNDDOWN(補助シート!O20*VLOOKUP($F40,敵技,7+$K$31,0),0)))))</f>
        <v>155</v>
      </c>
      <c r="S40" s="199"/>
      <c r="T40" s="198">
        <f ca="1">IF(OR($B40="",R$35="",$F40=""),"",IF($K$33="あり",IF(補助シート!$AR20="全体",$K$31,IF(補助シート!$AR20="３回",3,1)),1)*IF(AND(NOT(補助シート!$AQ20="回転"),NOT(補助シート!$I54="念"),NOT(補助シート!$I54="叩"),NOT(補助シート!$J54="燃"),NOT(補助シート!$J54="凍")),MAX(IF(補助シート!$I22="なし",1,0),ROUNDDOWN(IF(補助シート!Q$9="あり",0.5,1)*ROUNDDOWN(IF(補助シート!$I20="なし",1,補助シート!Q43)*(ROUNDDOWN(IF(AND(補助シート!Q$9="大防御",NOT(補助シート!$J43="高")),0.1,1)*ROUNDDOWN(IF(AND(補助シート!O$7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Q$6=1,補助シート!$AQ20="隊列"))),2,1)*ROUNDDOWN(HLOOKUP(補助シート!Q$6,敵隊列,MATCH($F40,敵技リスト,0)+1)*(IF(補助シート!$J20="物理",補助シート!Q20,IF(補助シート!$J20="魔",補助シート!Q88,VLOOKUP($F40,敵技,3,0)))),0)),0)),0)-IF(OR(補助シート!$J20="魔",補助シート!$I20="なし",補助シート!$I20="念",補助シート!$I20="叩"),0,HLOOKUP(補助シート!$I20,味方耐性,補助シート!Q$12,0)),0)),0),0)),IF(OR(補助シート!$I54="念",補助シート!$I54="叩"),補助シート!Q54,IF(OR(補助シート!$J54="燃",補助シート!$J54="凍"),補助シート!Q66,ROUNDDOWN(補助シート!Q20*VLOOKUP($F40,敵技,7+$K$31,0),0)))))</f>
        <v>175</v>
      </c>
      <c r="U40" s="199"/>
      <c r="V40" s="198">
        <f ca="1">IF(OR($B40="",V$35="",$F40=""),"",IF($K$33="あり",IF(補助シート!$AR20="全体",$K$31,IF(補助シート!$AR20="３回",3,1)),1)*IF(AND(NOT(補助シート!$AQ20="回転"),NOT(補助シート!$I54="念"),NOT(補助シート!$I54="叩"),NOT(補助シート!$J54="燃"),NOT(補助シート!$J54="凍")),MAX(0,ROUNDDOWN(IF(補助シート!S$9="あり",0.5,1)*ROUNDDOWN(IF(補助シート!$I20="なし",1,補助シート!S43)*(ROUNDDOWN(IF(AND(補助シート!S$9="大防御",NOT(補助シート!$J43="高")),0.1,1)*ROUNDDOWN(IF(AND(補助シート!S$7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S$6=1,補助シート!$AQ20="隊列"))),2,1)*ROUNDDOWN(HLOOKUP(補助シート!S$6,敵隊列,MATCH($F40,敵技リスト,0)+1)*(IF(補助シート!$J20="物理",補助シート!S20,IF(補助シート!$J20="魔",補助シート!S88,VLOOKUP($F40,敵技,2,0)))),0)),0)),0)-IF(OR(補助シート!$J20="魔",補助シート!$I20="なし",補助シート!$I20="念",補助シート!$I20="叩"),0,HLOOKUP(補助シート!$I20,味方耐性,補助シート!S$12,0)),0)),0),0)),IF(OR(補助シート!$I54="念",補助シート!$I54="叩"),補助シート!S54,IF(OR(補助シート!$J54="燃",補助シート!$J54="凍"),補助シート!S66,ROUNDDOWN(補助シート!S20*VLOOKUP($F40,敵技,7+$K$31,0),0)))))</f>
        <v>170</v>
      </c>
      <c r="W40" s="199"/>
      <c r="X40" s="198">
        <f ca="1">IF(OR($B40="",V$35="",$F40=""),"",IF($K$33="あり",IF(補助シート!$AR20="全体",$K$31,IF(補助シート!$AR20="３回",3,1)),1)*IF(AND(NOT(補助シート!$AQ20="回転"),NOT(補助シート!$I54="念"),NOT(補助シート!$I54="叩"),NOT(補助シート!$J54="燃"),NOT(補助シート!$J54="凍")),MAX(IF(補助シート!$I22="なし",1,0),ROUNDDOWN(IF(補助シート!U$9="あり",0.5,1)*ROUNDDOWN(IF(補助シート!$I20="なし",1,補助シート!U43)*(ROUNDDOWN(IF(AND(補助シート!U$9="大防御",NOT(補助シート!$J43="高")),0.1,1)*ROUNDDOWN(IF(AND(補助シート!S$7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U$6=1,補助シート!$AQ20="隊列"))),2,1)*ROUNDDOWN(HLOOKUP(補助シート!U$6,敵隊列,MATCH($F40,敵技リスト,0)+1)*(IF(補助シート!$J20="物理",補助シート!U20,IF(補助シート!$J20="魔",補助シート!U88,VLOOKUP($F40,敵技,3,0)))),0)),0)),0)-IF(OR(補助シート!$J20="魔",補助シート!$I20="なし",補助シート!$I20="念",補助シート!$I20="叩"),0,HLOOKUP(補助シート!$I20,味方耐性,補助シート!U$12,0)),0)),0),0)),IF(OR(補助シート!$I54="念",補助シート!$I54="叩"),補助シート!U54,IF(OR(補助シート!$J54="燃",補助シート!$J54="凍"),補助シート!U66,ROUNDDOWN(補助シート!U20*VLOOKUP($F40,敵技,7+$K$31,0),0)))))</f>
        <v>190</v>
      </c>
      <c r="Y40" s="199"/>
      <c r="Z40" s="198">
        <f ca="1">IF(OR($B40="",Z$35="",$F40=""),"",IF($K$33="あり",IF(補助シート!$AR20="全体",$K$31,IF(補助シート!$AR20="３回",3,1)),1)*IF(AND(NOT(補助シート!$AQ20="回転"),NOT(補助シート!$I54="念"),NOT(補助シート!$I54="叩"),NOT(補助シート!$J54="燃"),NOT(補助シート!$J54="凍")),MAX(0,ROUNDDOWN(IF(補助シート!W$9="あり",0.5,1)*ROUNDDOWN(IF(補助シート!$I20="なし",1,補助シート!W43)*(ROUNDDOWN(IF(AND(補助シート!W$9="大防御",NOT(補助シート!$J43="高")),0.1,1)*ROUNDDOWN(IF(AND(補助シート!W$7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W$6=1,補助シート!$AQ20="隊列"))),2,1)*ROUNDDOWN(HLOOKUP(補助シート!W$6,敵隊列,MATCH($F40,敵技リスト,0)+1)*(IF(補助シート!$J20="物理",補助シート!W20,IF(補助シート!$J20="魔",補助シート!W88,VLOOKUP($F40,敵技,2,0)))),0)),0)),0)-IF(OR(補助シート!$J20="魔",補助シート!$I20="なし",補助シート!$I20="念",補助シート!$I20="叩"),0,HLOOKUP(補助シート!$I20,味方耐性,補助シート!W$12,0)),0)),0),0)),IF(OR(補助シート!$I54="念",補助シート!$I54="叩"),補助シート!W54,IF(OR(補助シート!$J54="燃",補助シート!$J54="凍"),補助シート!W66,ROUNDDOWN(補助シート!W20*VLOOKUP($F40,敵技,7+$K$31,0),0)))))</f>
        <v>170</v>
      </c>
      <c r="AA40" s="199"/>
      <c r="AB40" s="198">
        <f ca="1">IF(OR($B40="",Z$35="",$F40=""),"",IF($K$33="あり",IF(補助シート!$AR20="全体",$K$31,IF(補助シート!$AR20="３回",3,1)),1)*IF(AND(NOT(補助シート!$AQ20="回転"),NOT(補助シート!$I54="念"),NOT(補助シート!$I54="叩"),NOT(補助シート!$J54="燃"),NOT(補助シート!$J54="凍")),MAX(IF(補助シート!$I22="なし",1,0),ROUNDDOWN(IF(補助シート!Y$9="あり",0.5,1)*ROUNDDOWN(IF(補助シート!$I20="なし",1,補助シート!Y43)*(ROUNDDOWN(IF(AND(補助シート!Y$9="大防御",NOT(補助シート!$J43="高")),0.1,1)*ROUNDDOWN(IF(AND(補助シート!W$7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Y$6=1,補助シート!$AQ20="隊列"))),2,1)*ROUNDDOWN(HLOOKUP(補助シート!Y$6,敵隊列,MATCH($F40,敵技リスト,0)+1)*(IF(補助シート!$J20="物理",補助シート!Y20,IF(補助シート!$J20="魔",補助シート!Y88,VLOOKUP($F40,敵技,3,0)))),0)),0)),0)-IF(OR(補助シート!$J20="魔",補助シート!$I20="なし",補助シート!$I20="念",補助シート!$I20="叩"),0,HLOOKUP(補助シート!$I20,味方耐性,補助シート!Y$12,0)),0)),0),0)),IF(OR(補助シート!$I54="念",補助シート!$I54="叩"),補助シート!Y54,IF(OR(補助シート!$J54="燃",補助シート!$J54="凍"),補助シート!Y66,ROUNDDOWN(補助シート!Y20*VLOOKUP($F40,敵技,7+$K$31,0),0)))))</f>
        <v>190</v>
      </c>
      <c r="AC40" s="199"/>
      <c r="AD40" s="198">
        <f ca="1">IF(OR($B40="",AD$35="",$F40=""),"",IF($K$33="あり",IF(補助シート!$AR20="全体",$K$31,IF(補助シート!$AR20="３回",3,1)),1)*IF(AND(NOT(補助シート!$AQ20="回転"),NOT(補助シート!$I54="念"),NOT(補助シート!$I54="叩"),NOT(補助シート!$J54="燃"),NOT(補助シート!$J54="凍")),MAX(0,ROUNDDOWN(IF(補助シート!AA$9="あり",0.5,1)*ROUNDDOWN(IF(補助シート!$I20="なし",1,補助シート!AA43)*(ROUNDDOWN(IF(AND(補助シート!AA$9="大防御",NOT(補助シート!$J43="高")),0.1,1)*ROUNDDOWN(IF(AND(補助シート!AA$7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AA$6=1,補助シート!$AQ20="隊列"))),2,1)*ROUNDDOWN(HLOOKUP(補助シート!AA$6,敵隊列,MATCH($F40,敵技リスト,0)+1)*(IF(補助シート!$J20="物理",補助シート!AA20,IF(補助シート!$J20="魔",補助シート!AA88,VLOOKUP($F40,敵技,2,0)))),0)),0)),0)-IF(OR(補助シート!$J20="魔",補助シート!$I20="なし",補助シート!$I20="念",補助シート!$I20="叩"),0,HLOOKUP(補助シート!$I20,味方耐性,補助シート!AA$12,0)),0)),0),0)),IF(OR(補助シート!$I54="念",補助シート!$I54="叩"),補助シート!AA54,IF(OR(補助シート!$J54="燃",補助シート!$J54="凍"),補助シート!AA66,ROUNDDOWN(補助シート!AA20*VLOOKUP($F40,敵技,7+$K$31,0),0)))))</f>
        <v>170</v>
      </c>
      <c r="AE40" s="199"/>
      <c r="AF40" s="198">
        <f ca="1">IF(OR($B40="",AD$35="",$F40=""),"",IF($K$33="あり",IF(補助シート!$AR20="全体",$K$31,IF(補助シート!$AR20="３回",3,1)),1)*IF(AND(NOT(補助シート!$AQ20="回転"),NOT(補助シート!$I54="念"),NOT(補助シート!$I54="叩"),NOT(補助シート!$J54="燃"),NOT(補助シート!$J54="凍")),MAX(IF(補助シート!$I22="なし",1,0),ROUNDDOWN(IF(補助シート!AC$9="あり",0.5,1)*ROUNDDOWN(IF(補助シート!$I20="なし",1,補助シート!AC43)*(ROUNDDOWN(IF(AND(補助シート!AC$9="大防御",NOT(補助シート!$J43="高")),0.1,1)*ROUNDDOWN(IF(AND(補助シート!AA$7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AC$6=1,補助シート!$AQ20="隊列"))),2,1)*ROUNDDOWN(HLOOKUP(補助シート!AC$6,敵隊列,MATCH($F40,敵技リスト,0)+1)*(IF(補助シート!$J20="物理",補助シート!AC20,IF(補助シート!$J20="魔",補助シート!AC88,VLOOKUP($F40,敵技,3,0)))),0)),0)),0)-IF(OR(補助シート!$J20="魔",補助シート!$I20="なし",補助シート!$I20="念",補助シート!$I20="叩"),0,HLOOKUP(補助シート!$I20,味方耐性,補助シート!AC$12,0)),0)),0),0)),IF(OR(補助シート!$I54="念",補助シート!$I54="叩"),補助シート!AC54,IF(OR(補助シート!$J54="燃",補助シート!$J54="凍"),補助シート!AC66,ROUNDDOWN(補助シート!AC20*VLOOKUP($F40,敵技,7+$K$31,0),0)))))</f>
        <v>190</v>
      </c>
      <c r="AG40" s="199"/>
      <c r="AH40" s="198">
        <f ca="1">IF(OR($B40="",AH$35="",$F40=""),"",IF($K$33="あり",IF(補助シート!$AR20="全体",$K$31,IF(補助シート!$AR20="３回",3,1)),1)*IF(AND(NOT(補助シート!$AQ20="回転"),NOT(補助シート!$I54="念"),NOT(補助シート!$I54="叩"),NOT(補助シート!$J54="燃"),NOT(補助シート!$J54="凍")),MAX(0,ROUNDDOWN(IF(補助シート!AE$9="あり",0.5,1)*ROUNDDOWN(IF(補助シート!$I20="なし",1,補助シート!AE43)*(ROUNDDOWN(IF(AND(補助シート!AE$9="大防御",NOT(補助シート!$J43="高")),0.1,1)*ROUNDDOWN(IF(AND(補助シート!AE$7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AE$6=1,補助シート!$AQ20="隊列"))),2,1)*ROUNDDOWN(HLOOKUP(補助シート!AE$6,敵隊列,MATCH($F40,敵技リスト,0)+1)*(IF(補助シート!$J20="物理",補助シート!AE20,IF(補助シート!$J20="魔",補助シート!AE88,VLOOKUP($F40,敵技,2,0)))),0)),0)),0)-IF(OR(補助シート!$J20="魔",補助シート!$I20="なし",補助シート!$I20="念",補助シート!$I20="叩"),0,HLOOKUP(補助シート!$I20,味方耐性,補助シート!AE$12,0)),0)),0),0)),IF(OR(補助シート!$I54="念",補助シート!$I54="叩"),補助シート!AE54,IF(OR(補助シート!$J54="燃",補助シート!$J54="凍"),補助シート!AE66,ROUNDDOWN(補助シート!AE20*VLOOKUP($F40,敵技,7+$K$31,0),0)))))</f>
        <v>170</v>
      </c>
      <c r="AI40" s="199"/>
      <c r="AJ40" s="198">
        <f ca="1">IF(OR($B40="",AH$35="",$F40=""),"",IF($K$33="あり",IF(補助シート!$AR20="全体",$K$31,IF(補助シート!$AR20="３回",3,1)),1)*IF(AND(NOT(補助シート!$AQ20="回転"),NOT(補助シート!$I54="念"),NOT(補助シート!$I54="叩"),NOT(補助シート!$J54="燃"),NOT(補助シート!$J54="凍")),MAX(IF(補助シート!$I22="なし",1,0),ROUNDDOWN(IF(補助シート!AG$9="あり",0.5,1)*ROUNDDOWN(IF(補助シート!$I20="なし",1,補助シート!AG43)*(ROUNDDOWN(IF(AND(補助シート!AG$9="大防御",NOT(補助シート!$J43="高")),0.1,1)*ROUNDDOWN(IF(AND(補助シート!AE$7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AG$6=1,補助シート!$AQ20="隊列"))),2,1)*ROUNDDOWN(HLOOKUP(補助シート!AG$6,敵隊列,MATCH($F40,敵技リスト,0)+1)*(IF(補助シート!$J20="物理",補助シート!AG20,IF(補助シート!$J20="魔",補助シート!AG88,VLOOKUP($F40,敵技,3,0)))),0)),0)),0)-IF(OR(補助シート!$J20="魔",補助シート!$I20="なし",補助シート!$I20="念",補助シート!$I20="叩"),0,HLOOKUP(補助シート!$I20,味方耐性,補助シート!AG$12,0)),0)),0),0)),IF(OR(補助シート!$I54="念",補助シート!$I54="叩"),補助シート!AG54,IF(OR(補助シート!$J54="燃",補助シート!$J54="凍"),補助シート!AG66,ROUNDDOWN(補助シート!AG20*VLOOKUP($F40,敵技,7+$K$31,0),0)))))</f>
        <v>190</v>
      </c>
      <c r="AK40" s="199"/>
      <c r="AL40" s="198">
        <f ca="1">IF(OR($B40="",AL$35="",$F40=""),"",IF($K$33="あり",IF(補助シート!$AR20="全体",$K$31,IF(補助シート!$AR20="３回",3,1)),1)*IF(AND(NOT(補助シート!$AQ20="回転"),NOT(補助シート!$I54="念"),NOT(補助シート!$I54="叩"),NOT(補助シート!$J54="燃"),NOT(補助シート!$J54="凍")),MAX(0,ROUNDDOWN(IF(補助シート!AI$9="あり",0.5,1)*ROUNDDOWN(IF(補助シート!$I20="なし",1,補助シート!AI43)*(ROUNDDOWN(IF(AND(補助シート!AI$9="大防御",NOT(補助シート!$J43="高")),0.1,1)*ROUNDDOWN(IF(AND(補助シート!AI$7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AI$6=1,補助シート!$AQ20="隊列"))),2,1)*ROUNDDOWN(HLOOKUP(補助シート!AI$6,敵隊列,MATCH($F40,敵技リスト,0)+1)*(IF(補助シート!$J20="物理",補助シート!AI20,IF(補助シート!$J20="魔",補助シート!AI88,VLOOKUP($F40,敵技,2,0)))),0)),0)),0)-IF(OR(補助シート!$J20="魔",補助シート!$I20="なし",補助シート!$I20="念",補助シート!$I20="叩"),0,HLOOKUP(補助シート!$I20,味方耐性,補助シート!AI$12,0)),0)),0),0)),IF(OR(補助シート!$I54="念",補助シート!$I54="叩"),補助シート!AI54,IF(OR(補助シート!$J54="燃",補助シート!$J54="凍"),補助シート!AI66,ROUNDDOWN(補助シート!AI20*VLOOKUP($F40,敵技,7+$K$31,0),0)))))</f>
        <v>145</v>
      </c>
      <c r="AM40" s="199"/>
      <c r="AN40" s="198">
        <f ca="1">IF(OR($B40="",AL$35="",$F40=""),"",IF($K$33="あり",IF(補助シート!$AR20="全体",$K$31,IF(補助シート!$AR20="３回",3,1)),1)*IF(AND(NOT(補助シート!$AQ20="回転"),NOT(補助シート!$I54="念"),NOT(補助シート!$I54="叩"),NOT(補助シート!$J54="燃"),NOT(補助シート!$J54="凍")),MAX(IF(補助シート!$I22="なし",1,0),ROUNDDOWN(IF(補助シート!AK$9="あり",0.5,1)*ROUNDDOWN(IF(補助シート!$I20="なし",1,補助シート!AK43)*(ROUNDDOWN(IF(AND(補助シート!AK$9="大防御",NOT(補助シート!$J43="高")),0.1,1)*ROUNDDOWN(IF(AND(補助シート!AI$7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AK$6=1,補助シート!$AQ20="隊列"))),2,1)*ROUNDDOWN(HLOOKUP(補助シート!AK$6,敵隊列,MATCH($F40,敵技リスト,0)+1)*(IF(補助シート!$J20="物理",補助シート!AK20,IF(補助シート!$J20="魔",補助シート!AK88,VLOOKUP($F40,敵技,3,0)))),0)),0)),0)-IF(OR(補助シート!$J20="魔",補助シート!$I20="なし",補助シート!$I20="念",補助シート!$I20="叩"),0,HLOOKUP(補助シート!$I20,味方耐性,補助シート!AK$12,0)),0)),0),0)),IF(OR(補助シート!$I54="念",補助シート!$I54="叩"),補助シート!AK54,IF(OR(補助シート!$J54="燃",補助シート!$J54="凍"),補助シート!AK66,ROUNDDOWN(補助シート!AK20*VLOOKUP($F40,敵技,7+$K$31,0),0)))))</f>
        <v>165</v>
      </c>
      <c r="AO40" s="199"/>
      <c r="AP40" s="198">
        <f ca="1">IF(OR($B40="",AP$35="",$F40=""),"",IF($K$33="あり",IF(補助シート!$AR20="全体",$K$31,IF(補助シート!$AR20="３回",3,1)),1)*IF(AND(NOT(補助シート!$AQ20="回転"),NOT(補助シート!$I54="念"),NOT(補助シート!$I54="叩"),NOT(補助シート!$J54="燃"),NOT(補助シート!$J54="凍")),MAX(0,ROUNDDOWN(IF(補助シート!AM$9="あり",0.5,1)*ROUNDDOWN(IF(補助シート!$I20="なし",1,補助シート!AM43)*(ROUNDDOWN(IF(AND(補助シート!AM$9="大防御",NOT(補助シート!$J43="高")),0.1,1)*ROUNDDOWN(IF(AND(補助シート!AM$7="あり",OR(補助シート!$I20="炎",補助シート!$I20="雪")),0.5,1)*(ROUNDDOWN(IF(AND(OR(補助シート!$J20="物理",補助シート!$J20="魔"),$L40="あり",NOT(補助シート!$AQ20="倍無")),補助シート!$F$45,1)*(IF(AND(OR(補助シート!$J20="物理",補助シート!$J20="魔"),$J40="あり",NOT(補助シート!$AQ20="倍無"),OR(NOT(補助シート!$AQ20="隊列"),AND(補助シート!AM$6=1,補助シート!$AQ20="隊列"))),2,1)*ROUNDDOWN(HLOOKUP(補助シート!AM$6,敵隊列,MATCH($F40,敵技リスト,0)+1)*(IF(補助シート!$J20="物理",補助シート!AM20,IF(補助シート!$J20="魔",補助シート!AM88,VLOOKUP($F40,敵技,2,0)))),0)),0)),0)-IF(OR(補助シート!$J20="魔",補助シート!$I20="なし",補助シート!$I20="念",補助シート!$I20="叩"),0,HLOOKUP(補助シート!$I20,味方耐性,補助シート!AM$12,0)),0)),0),0)),IF(OR(補助シート!$I54="念",補助シート!$I54="叩"),補助シート!AM54,IF(OR(補助シート!$J54="燃",補助シート!$J54="凍"),補助シート!AM66,ROUNDDOWN(補助シート!AM20*VLOOKUP($F40,敵技,7+$K$31,0),0)))))</f>
        <v>125</v>
      </c>
      <c r="AQ40" s="199"/>
      <c r="AR40" s="198">
        <f ca="1">IF(OR($B40="",AP$35="",$F40=""),"",IF($K$33="あり",IF(補助シート!$AR20="全体",$K$31,IF(補助シート!$AR20="３回",3,1)),1)*IF(AND(NOT(補助シート!$AQ20="回転"),NOT(補助シート!$I54="念"),NOT(補助シート!$I54="叩"),NOT(補助シート!$J54="燃"),NOT(補助シート!$J54="凍")),MAX(IF(補助シート!$I22="なし",1,0),ROUNDDOWN(IF(補助シート!AO$9="あり",0.5,1)*ROUNDDOWN(IF(補助シート!$I20="なし",1,補助シート!AO43)*(ROUNDDOWN(IF(AND(補助シート!AO$9="大防御",NOT(補助シート!$J43="高")),0.1,1)*ROUNDDOWN(IF(AND(補助シート!AM$7="あり",OR(補助シート!$I20="炎",補助シート!$I20="雪")),0.5,1)*(ROUNDDOWN(IF(AND(OR(補助シート!$J20="物理",補助シート!$J20="魔"),$L40="あり",NOT(補助シート!$AQ20="倍無")),補助シート!$F$46,1)*(IF(AND(OR(補助シート!$J20="物理",補助シート!$J20="魔"),$J40="あり",NOT(補助シート!$AQ20="倍無"),OR(NOT(補助シート!$AQ20="隊列"),AND(補助シート!AO$6=1,補助シート!$AQ20="隊列"))),2,1)*ROUNDDOWN(HLOOKUP(補助シート!AO$6,敵隊列,MATCH($F40,敵技リスト,0)+1)*(IF(補助シート!$J20="物理",補助シート!AO20,IF(補助シート!$J20="魔",補助シート!AO88,VLOOKUP($F40,敵技,3,0)))),0)),0)),0)-IF(OR(補助シート!$J20="魔",補助シート!$I20="なし",補助シート!$I20="念",補助シート!$I20="叩"),0,HLOOKUP(補助シート!$I20,味方耐性,補助シート!AO$12,0)),0)),0),0)),IF(OR(補助シート!$I54="念",補助シート!$I54="叩"),補助シート!AO54,IF(OR(補助シート!$J54="燃",補助シート!$J54="凍"),補助シート!AO66,ROUNDDOWN(補助シート!AO20*VLOOKUP($F40,敵技,7+$K$31,0),0)))))</f>
        <v>145</v>
      </c>
      <c r="AS40" s="199"/>
      <c r="AT40" s="64"/>
      <c r="AU40" s="72"/>
    </row>
    <row r="41" spans="1:47" x14ac:dyDescent="0.15">
      <c r="A41" s="70"/>
      <c r="B41" s="196" t="str">
        <f t="shared" ca="1" si="1"/>
        <v>ひだりて</v>
      </c>
      <c r="C41" s="197"/>
      <c r="D41" s="197"/>
      <c r="E41" s="200"/>
      <c r="F41" s="183" t="s">
        <v>511</v>
      </c>
      <c r="G41" s="184"/>
      <c r="H41" s="184"/>
      <c r="I41" s="185"/>
      <c r="J41" s="189" t="s">
        <v>466</v>
      </c>
      <c r="K41" s="190"/>
      <c r="L41" s="189" t="s">
        <v>466</v>
      </c>
      <c r="M41" s="190"/>
      <c r="N41" s="198">
        <f ca="1">IF(OR($B41="",N$35="",$F41=""),"",IF($K$33="あり",IF(補助シート!$AR21="全体",$K$31,IF(補助シート!$AR21="３回",3,1)),1)*IF(AND(NOT(補助シート!$AQ21="回転"),NOT(補助シート!$I55="念"),NOT(補助シート!$I55="叩"),NOT(補助シート!$J55="燃"),NOT(補助シート!$J55="凍")),MAX(0,ROUNDDOWN(IF(補助シート!K$9="あり",0.5,1)*ROUNDDOWN(IF(補助シート!$I21="なし",1,補助シート!K44)*(ROUNDDOWN(IF(AND(補助シート!K$9="大防御",NOT(補助シート!$J44="高")),0.1,1)*ROUNDDOWN(IF(AND(補助シート!K$7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K$6=1,補助シート!$AQ21="隊列"))),2,1)*ROUNDDOWN(HLOOKUP(補助シート!K$6,敵隊列,MATCH($F41,敵技リスト,0)+1)*(IF(補助シート!$J21="物理",補助シート!K21,IF(補助シート!$J21="魔",補助シート!K89,VLOOKUP($F41,敵技,2,0)))),0)),0)),0)-IF(OR(補助シート!$J21="魔",補助シート!$I21="なし",補助シート!$I21="念",補助シート!$I21="叩"),0,HLOOKUP(補助シート!$I21,味方耐性,補助シート!K$12,0)),0)),0),0)),IF(OR(補助シート!$I55="念",補助シート!$I55="叩"),補助シート!K55,IF(OR(補助シート!$J55="燃",補助シート!$J55="凍"),補助シート!K67,ROUNDDOWN(補助シート!K21*VLOOKUP($F41,敵技,7+$K$31,0),0)))))</f>
        <v>137</v>
      </c>
      <c r="O41" s="199"/>
      <c r="P41" s="198">
        <f ca="1">IF(OR($B41="",N$35="",$F41=""),"",IF($K$33="あり",IF(補助シート!$AR21="全体",$K$31,IF(補助シート!$AR21="３回",3,1)),1)*IF(AND(NOT(補助シート!$AQ21="回転"),NOT(補助シート!$I55="念"),NOT(補助シート!$I55="叩"),NOT(補助シート!$J55="燃"),NOT(補助シート!$J55="凍")),MAX(IF(補助シート!$I23="なし",1,0),ROUNDDOWN(IF(補助シート!M$9="あり",0.5,1)*ROUNDDOWN(IF(補助シート!$I21="なし",1,補助シート!M44)*(ROUNDDOWN(IF(AND(補助シート!M$9="大防御",NOT(補助シート!$J44="高")),0.1,1)*ROUNDDOWN(IF(AND(補助シート!K$7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M$6=1,補助シート!$AQ21="隊列"))),2,1)*ROUNDDOWN(HLOOKUP(補助シート!M$6,敵隊列,MATCH($F41,敵技リスト,0)+1)*(IF(補助シート!$J21="物理",補助シート!M21,IF(補助シート!$J21="魔",補助シート!M89,VLOOKUP($F41,敵技,3,0)))),0)),0)),0)-IF(OR(補助シート!$J21="魔",補助シート!$I21="なし",補助シート!$I21="念",補助シート!$I21="叩"),0,HLOOKUP(補助シート!$I21,味方耐性,補助シート!M$12,0)),0)),0),0)),IF(OR(補助シート!$I55="念",補助シート!$I55="叩"),補助シート!M55,IF(OR(補助シート!$J55="燃",補助シート!$J55="凍"),補助シート!M67,ROUNDDOWN(補助シート!M21*VLOOKUP($F41,敵技,7+$K$31,0),0)))))</f>
        <v>143</v>
      </c>
      <c r="Q41" s="199"/>
      <c r="R41" s="198">
        <f ca="1">IF(OR($B41="",R$35="",$F41=""),"",IF($K$33="あり",IF(補助シート!$AR21="全体",$K$31,IF(補助シート!$AR21="３回",3,1)),1)*IF(AND(NOT(補助シート!$AQ21="回転"),NOT(補助シート!$I55="念"),NOT(補助シート!$I55="叩"),NOT(補助シート!$J55="燃"),NOT(補助シート!$J55="凍")),MAX(0,ROUNDDOWN(IF(補助シート!O$9="あり",0.5,1)*ROUNDDOWN(IF(補助シート!$I21="なし",1,補助シート!O44)*(ROUNDDOWN(IF(AND(補助シート!O$9="大防御",NOT(補助シート!$J44="高")),0.1,1)*ROUNDDOWN(IF(AND(補助シート!O$7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O$6=1,補助シート!$AQ21="隊列"))),2,1)*ROUNDDOWN(HLOOKUP(補助シート!O$6,敵隊列,MATCH($F41,敵技リスト,0)+1)*(IF(補助シート!$J21="物理",補助シート!O21,IF(補助シート!$J21="魔",補助シート!O89,VLOOKUP($F41,敵技,2,0)))),0)),0)),0)-IF(OR(補助シート!$J21="魔",補助シート!$I21="なし",補助シート!$I21="念",補助シート!$I21="叩"),0,HLOOKUP(補助シート!$I21,味方耐性,補助シート!O$12,0)),0)),0),0)),IF(OR(補助シート!$I55="念",補助シート!$I55="叩"),補助シート!O55,IF(OR(補助シート!$J55="燃",補助シート!$J55="凍"),補助シート!O67,ROUNDDOWN(補助シート!O21*VLOOKUP($F41,敵技,7+$K$31,0),0)))))</f>
        <v>130</v>
      </c>
      <c r="S41" s="199"/>
      <c r="T41" s="198">
        <f ca="1">IF(OR($B41="",R$35="",$F41=""),"",IF($K$33="あり",IF(補助シート!$AR21="全体",$K$31,IF(補助シート!$AR21="３回",3,1)),1)*IF(AND(NOT(補助シート!$AQ21="回転"),NOT(補助シート!$I55="念"),NOT(補助シート!$I55="叩"),NOT(補助シート!$J55="燃"),NOT(補助シート!$J55="凍")),MAX(IF(補助シート!$I23="なし",1,0),ROUNDDOWN(IF(補助シート!Q$9="あり",0.5,1)*ROUNDDOWN(IF(補助シート!$I21="なし",1,補助シート!Q44)*(ROUNDDOWN(IF(AND(補助シート!Q$9="大防御",NOT(補助シート!$J44="高")),0.1,1)*ROUNDDOWN(IF(AND(補助シート!O$7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Q$6=1,補助シート!$AQ21="隊列"))),2,1)*ROUNDDOWN(HLOOKUP(補助シート!Q$6,敵隊列,MATCH($F41,敵技リスト,0)+1)*(IF(補助シート!$J21="物理",補助シート!Q21,IF(補助シート!$J21="魔",補助シート!Q89,VLOOKUP($F41,敵技,3,0)))),0)),0)),0)-IF(OR(補助シート!$J21="魔",補助シート!$I21="なし",補助シート!$I21="念",補助シート!$I21="叩"),0,HLOOKUP(補助シート!$I21,味方耐性,補助シート!Q$12,0)),0)),0),0)),IF(OR(補助シート!$I55="念",補助シート!$I55="叩"),補助シート!Q55,IF(OR(補助シート!$J55="燃",補助シート!$J55="凍"),補助シート!Q67,ROUNDDOWN(補助シート!Q21*VLOOKUP($F41,敵技,7+$K$31,0),0)))))</f>
        <v>135</v>
      </c>
      <c r="U41" s="199"/>
      <c r="V41" s="198">
        <f ca="1">IF(OR($B41="",V$35="",$F41=""),"",IF($K$33="あり",IF(補助シート!$AR21="全体",$K$31,IF(補助シート!$AR21="３回",3,1)),1)*IF(AND(NOT(補助シート!$AQ21="回転"),NOT(補助シート!$I55="念"),NOT(補助シート!$I55="叩"),NOT(補助シート!$J55="燃"),NOT(補助シート!$J55="凍")),MAX(0,ROUNDDOWN(IF(補助シート!S$9="あり",0.5,1)*ROUNDDOWN(IF(補助シート!$I21="なし",1,補助シート!S44)*(ROUNDDOWN(IF(AND(補助シート!S$9="大防御",NOT(補助シート!$J44="高")),0.1,1)*ROUNDDOWN(IF(AND(補助シート!S$7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S$6=1,補助シート!$AQ21="隊列"))),2,1)*ROUNDDOWN(HLOOKUP(補助シート!S$6,敵隊列,MATCH($F41,敵技リスト,0)+1)*(IF(補助シート!$J21="物理",補助シート!S21,IF(補助シート!$J21="魔",補助シート!S89,VLOOKUP($F41,敵技,2,0)))),0)),0)),0)-IF(OR(補助シート!$J21="魔",補助シート!$I21="なし",補助シート!$I21="念",補助シート!$I21="叩"),0,HLOOKUP(補助シート!$I21,味方耐性,補助シート!S$12,0)),0)),0),0)),IF(OR(補助シート!$I55="念",補助シート!$I55="叩"),補助シート!S55,IF(OR(補助シート!$J55="燃",補助シート!$J55="凍"),補助シート!S67,ROUNDDOWN(補助シート!S21*VLOOKUP($F41,敵技,7+$K$31,0),0)))))</f>
        <v>150</v>
      </c>
      <c r="W41" s="199"/>
      <c r="X41" s="198">
        <f ca="1">IF(OR($B41="",V$35="",$F41=""),"",IF($K$33="あり",IF(補助シート!$AR21="全体",$K$31,IF(補助シート!$AR21="３回",3,1)),1)*IF(AND(NOT(補助シート!$AQ21="回転"),NOT(補助シート!$I55="念"),NOT(補助シート!$I55="叩"),NOT(補助シート!$J55="燃"),NOT(補助シート!$J55="凍")),MAX(IF(補助シート!$I23="なし",1,0),ROUNDDOWN(IF(補助シート!U$9="あり",0.5,1)*ROUNDDOWN(IF(補助シート!$I21="なし",1,補助シート!U44)*(ROUNDDOWN(IF(AND(補助シート!U$9="大防御",NOT(補助シート!$J44="高")),0.1,1)*ROUNDDOWN(IF(AND(補助シート!S$7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U$6=1,補助シート!$AQ21="隊列"))),2,1)*ROUNDDOWN(HLOOKUP(補助シート!U$6,敵隊列,MATCH($F41,敵技リスト,0)+1)*(IF(補助シート!$J21="物理",補助シート!U21,IF(補助シート!$J21="魔",補助シート!U89,VLOOKUP($F41,敵技,3,0)))),0)),0)),0)-IF(OR(補助シート!$J21="魔",補助シート!$I21="なし",補助シート!$I21="念",補助シート!$I21="叩"),0,HLOOKUP(補助シート!$I21,味方耐性,補助シート!U$12,0)),0)),0),0)),IF(OR(補助シート!$I55="念",補助シート!$I55="叩"),補助シート!U55,IF(OR(補助シート!$J55="燃",補助シート!$J55="凍"),補助シート!U67,ROUNDDOWN(補助シート!U21*VLOOKUP($F41,敵技,7+$K$31,0),0)))))</f>
        <v>157</v>
      </c>
      <c r="Y41" s="199"/>
      <c r="Z41" s="198">
        <f ca="1">IF(OR($B41="",Z$35="",$F41=""),"",IF($K$33="あり",IF(補助シート!$AR21="全体",$K$31,IF(補助シート!$AR21="３回",3,1)),1)*IF(AND(NOT(補助シート!$AQ21="回転"),NOT(補助シート!$I55="念"),NOT(補助シート!$I55="叩"),NOT(補助シート!$J55="燃"),NOT(補助シート!$J55="凍")),MAX(0,ROUNDDOWN(IF(補助シート!W$9="あり",0.5,1)*ROUNDDOWN(IF(補助シート!$I21="なし",1,補助シート!W44)*(ROUNDDOWN(IF(AND(補助シート!W$9="大防御",NOT(補助シート!$J44="高")),0.1,1)*ROUNDDOWN(IF(AND(補助シート!W$7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W$6=1,補助シート!$AQ21="隊列"))),2,1)*ROUNDDOWN(HLOOKUP(補助シート!W$6,敵隊列,MATCH($F41,敵技リスト,0)+1)*(IF(補助シート!$J21="物理",補助シート!W21,IF(補助シート!$J21="魔",補助シート!W89,VLOOKUP($F41,敵技,2,0)))),0)),0)),0)-IF(OR(補助シート!$J21="魔",補助シート!$I21="なし",補助シート!$I21="念",補助シート!$I21="叩"),0,HLOOKUP(補助シート!$I21,味方耐性,補助シート!W$12,0)),0)),0),0)),IF(OR(補助シート!$I55="念",補助シート!$I55="叩"),補助シート!W55,IF(OR(補助シート!$J55="燃",補助シート!$J55="凍"),補助シート!W67,ROUNDDOWN(補助シート!W21*VLOOKUP($F41,敵技,7+$K$31,0),0)))))</f>
        <v>157</v>
      </c>
      <c r="AA41" s="199"/>
      <c r="AB41" s="198">
        <f ca="1">IF(OR($B41="",Z$35="",$F41=""),"",IF($K$33="あり",IF(補助シート!$AR21="全体",$K$31,IF(補助シート!$AR21="３回",3,1)),1)*IF(AND(NOT(補助シート!$AQ21="回転"),NOT(補助シート!$I55="念"),NOT(補助シート!$I55="叩"),NOT(補助シート!$J55="燃"),NOT(補助シート!$J55="凍")),MAX(IF(補助シート!$I23="なし",1,0),ROUNDDOWN(IF(補助シート!Y$9="あり",0.5,1)*ROUNDDOWN(IF(補助シート!$I21="なし",1,補助シート!Y44)*(ROUNDDOWN(IF(AND(補助シート!Y$9="大防御",NOT(補助シート!$J44="高")),0.1,1)*ROUNDDOWN(IF(AND(補助シート!W$7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Y$6=1,補助シート!$AQ21="隊列"))),2,1)*ROUNDDOWN(HLOOKUP(補助シート!Y$6,敵隊列,MATCH($F41,敵技リスト,0)+1)*(IF(補助シート!$J21="物理",補助シート!Y21,IF(補助シート!$J21="魔",補助シート!Y89,VLOOKUP($F41,敵技,3,0)))),0)),0)),0)-IF(OR(補助シート!$J21="魔",補助シート!$I21="なし",補助シート!$I21="念",補助シート!$I21="叩"),0,HLOOKUP(補助シート!$I21,味方耐性,補助シート!Y$12,0)),0)),0),0)),IF(OR(補助シート!$I55="念",補助シート!$I55="叩"),補助シート!Y55,IF(OR(補助シート!$J55="燃",補助シート!$J55="凍"),補助シート!Y67,ROUNDDOWN(補助シート!Y21*VLOOKUP($F41,敵技,7+$K$31,0),0)))))</f>
        <v>165</v>
      </c>
      <c r="AC41" s="199"/>
      <c r="AD41" s="198">
        <f ca="1">IF(OR($B41="",AD$35="",$F41=""),"",IF($K$33="あり",IF(補助シート!$AR21="全体",$K$31,IF(補助シート!$AR21="３回",3,1)),1)*IF(AND(NOT(補助シート!$AQ21="回転"),NOT(補助シート!$I55="念"),NOT(補助シート!$I55="叩"),NOT(補助シート!$J55="燃"),NOT(補助シート!$J55="凍")),MAX(0,ROUNDDOWN(IF(補助シート!AA$9="あり",0.5,1)*ROUNDDOWN(IF(補助シート!$I21="なし",1,補助シート!AA44)*(ROUNDDOWN(IF(AND(補助シート!AA$9="大防御",NOT(補助シート!$J44="高")),0.1,1)*ROUNDDOWN(IF(AND(補助シート!AA$7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AA$6=1,補助シート!$AQ21="隊列"))),2,1)*ROUNDDOWN(HLOOKUP(補助シート!AA$6,敵隊列,MATCH($F41,敵技リスト,0)+1)*(IF(補助シート!$J21="物理",補助シート!AA21,IF(補助シート!$J21="魔",補助シート!AA89,VLOOKUP($F41,敵技,2,0)))),0)),0)),0)-IF(OR(補助シート!$J21="魔",補助シート!$I21="なし",補助シート!$I21="念",補助シート!$I21="叩"),0,HLOOKUP(補助シート!$I21,味方耐性,補助シート!AA$12,0)),0)),0),0)),IF(OR(補助シート!$I55="念",補助シート!$I55="叩"),補助シート!AA55,IF(OR(補助シート!$J55="燃",補助シート!$J55="凍"),補助シート!AA67,ROUNDDOWN(補助シート!AA21*VLOOKUP($F41,敵技,7+$K$31,0),0)))))</f>
        <v>152</v>
      </c>
      <c r="AE41" s="199"/>
      <c r="AF41" s="198">
        <f ca="1">IF(OR($B41="",AD$35="",$F41=""),"",IF($K$33="あり",IF(補助シート!$AR21="全体",$K$31,IF(補助シート!$AR21="３回",3,1)),1)*IF(AND(NOT(補助シート!$AQ21="回転"),NOT(補助シート!$I55="念"),NOT(補助シート!$I55="叩"),NOT(補助シート!$J55="燃"),NOT(補助シート!$J55="凍")),MAX(IF(補助シート!$I23="なし",1,0),ROUNDDOWN(IF(補助シート!AC$9="あり",0.5,1)*ROUNDDOWN(IF(補助シート!$I21="なし",1,補助シート!AC44)*(ROUNDDOWN(IF(AND(補助シート!AC$9="大防御",NOT(補助シート!$J44="高")),0.1,1)*ROUNDDOWN(IF(AND(補助シート!AA$7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AC$6=1,補助シート!$AQ21="隊列"))),2,1)*ROUNDDOWN(HLOOKUP(補助シート!AC$6,敵隊列,MATCH($F41,敵技リスト,0)+1)*(IF(補助シート!$J21="物理",補助シート!AC21,IF(補助シート!$J21="魔",補助シート!AC89,VLOOKUP($F41,敵技,3,0)))),0)),0)),0)-IF(OR(補助シート!$J21="魔",補助シート!$I21="なし",補助シート!$I21="念",補助シート!$I21="叩"),0,HLOOKUP(補助シート!$I21,味方耐性,補助シート!AC$12,0)),0)),0),0)),IF(OR(補助シート!$I55="念",補助シート!$I55="叩"),補助シート!AC55,IF(OR(補助シート!$J55="燃",補助シート!$J55="凍"),補助シート!AC67,ROUNDDOWN(補助シート!AC21*VLOOKUP($F41,敵技,7+$K$31,0),0)))))</f>
        <v>159</v>
      </c>
      <c r="AG41" s="199"/>
      <c r="AH41" s="198">
        <f ca="1">IF(OR($B41="",AH$35="",$F41=""),"",IF($K$33="あり",IF(補助シート!$AR21="全体",$K$31,IF(補助シート!$AR21="３回",3,1)),1)*IF(AND(NOT(補助シート!$AQ21="回転"),NOT(補助シート!$I55="念"),NOT(補助シート!$I55="叩"),NOT(補助シート!$J55="燃"),NOT(補助シート!$J55="凍")),MAX(0,ROUNDDOWN(IF(補助シート!AE$9="あり",0.5,1)*ROUNDDOWN(IF(補助シート!$I21="なし",1,補助シート!AE44)*(ROUNDDOWN(IF(AND(補助シート!AE$9="大防御",NOT(補助シート!$J44="高")),0.1,1)*ROUNDDOWN(IF(AND(補助シート!AE$7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AE$6=1,補助シート!$AQ21="隊列"))),2,1)*ROUNDDOWN(HLOOKUP(補助シート!AE$6,敵隊列,MATCH($F41,敵技リスト,0)+1)*(IF(補助シート!$J21="物理",補助シート!AE21,IF(補助シート!$J21="魔",補助シート!AE89,VLOOKUP($F41,敵技,2,0)))),0)),0)),0)-IF(OR(補助シート!$J21="魔",補助シート!$I21="なし",補助シート!$I21="念",補助シート!$I21="叩"),0,HLOOKUP(補助シート!$I21,味方耐性,補助シート!AE$12,0)),0)),0),0)),IF(OR(補助シート!$I55="念",補助シート!$I55="叩"),補助シート!AE55,IF(OR(補助シート!$J55="燃",補助シート!$J55="凍"),補助シート!AE67,ROUNDDOWN(補助シート!AE21*VLOOKUP($F41,敵技,7+$K$31,0),0)))))</f>
        <v>147</v>
      </c>
      <c r="AI41" s="199"/>
      <c r="AJ41" s="198">
        <f ca="1">IF(OR($B41="",AH$35="",$F41=""),"",IF($K$33="あり",IF(補助シート!$AR21="全体",$K$31,IF(補助シート!$AR21="３回",3,1)),1)*IF(AND(NOT(補助シート!$AQ21="回転"),NOT(補助シート!$I55="念"),NOT(補助シート!$I55="叩"),NOT(補助シート!$J55="燃"),NOT(補助シート!$J55="凍")),MAX(IF(補助シート!$I23="なし",1,0),ROUNDDOWN(IF(補助シート!AG$9="あり",0.5,1)*ROUNDDOWN(IF(補助シート!$I21="なし",1,補助シート!AG44)*(ROUNDDOWN(IF(AND(補助シート!AG$9="大防御",NOT(補助シート!$J44="高")),0.1,1)*ROUNDDOWN(IF(AND(補助シート!AE$7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AG$6=1,補助シート!$AQ21="隊列"))),2,1)*ROUNDDOWN(HLOOKUP(補助シート!AG$6,敵隊列,MATCH($F41,敵技リスト,0)+1)*(IF(補助シート!$J21="物理",補助シート!AG21,IF(補助シート!$J21="魔",補助シート!AG89,VLOOKUP($F41,敵技,3,0)))),0)),0)),0)-IF(OR(補助シート!$J21="魔",補助シート!$I21="なし",補助シート!$I21="念",補助シート!$I21="叩"),0,HLOOKUP(補助シート!$I21,味方耐性,補助シート!AG$12,0)),0)),0),0)),IF(OR(補助シート!$I55="念",補助シート!$I55="叩"),補助シート!AG55,IF(OR(補助シート!$J55="燃",補助シート!$J55="凍"),補助シート!AG67,ROUNDDOWN(補助シート!AG21*VLOOKUP($F41,敵技,7+$K$31,0),0)))))</f>
        <v>154</v>
      </c>
      <c r="AK41" s="199"/>
      <c r="AL41" s="198">
        <f ca="1">IF(OR($B41="",AL$35="",$F41=""),"",IF($K$33="あり",IF(補助シート!$AR21="全体",$K$31,IF(補助シート!$AR21="３回",3,1)),1)*IF(AND(NOT(補助シート!$AQ21="回転"),NOT(補助シート!$I55="念"),NOT(補助シート!$I55="叩"),NOT(補助シート!$J55="燃"),NOT(補助シート!$J55="凍")),MAX(0,ROUNDDOWN(IF(補助シート!AI$9="あり",0.5,1)*ROUNDDOWN(IF(補助シート!$I21="なし",1,補助シート!AI44)*(ROUNDDOWN(IF(AND(補助シート!AI$9="大防御",NOT(補助シート!$J44="高")),0.1,1)*ROUNDDOWN(IF(AND(補助シート!AI$7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AI$6=1,補助シート!$AQ21="隊列"))),2,1)*ROUNDDOWN(HLOOKUP(補助シート!AI$6,敵隊列,MATCH($F41,敵技リスト,0)+1)*(IF(補助シート!$J21="物理",補助シート!AI21,IF(補助シート!$J21="魔",補助シート!AI89,VLOOKUP($F41,敵技,2,0)))),0)),0)),0)-IF(OR(補助シート!$J21="魔",補助シート!$I21="なし",補助シート!$I21="念",補助シート!$I21="叩"),0,HLOOKUP(補助シート!$I21,味方耐性,補助シート!AI$12,0)),0)),0),0)),IF(OR(補助シート!$I55="念",補助シート!$I55="叩"),補助シート!AI55,IF(OR(補助シート!$J55="燃",補助シート!$J55="凍"),補助シート!AI67,ROUNDDOWN(補助シート!AI21*VLOOKUP($F41,敵技,7+$K$31,0),0)))))</f>
        <v>137</v>
      </c>
      <c r="AM41" s="199"/>
      <c r="AN41" s="198">
        <f ca="1">IF(OR($B41="",AL$35="",$F41=""),"",IF($K$33="あり",IF(補助シート!$AR21="全体",$K$31,IF(補助シート!$AR21="３回",3,1)),1)*IF(AND(NOT(補助シート!$AQ21="回転"),NOT(補助シート!$I55="念"),NOT(補助シート!$I55="叩"),NOT(補助シート!$J55="燃"),NOT(補助シート!$J55="凍")),MAX(IF(補助シート!$I23="なし",1,0),ROUNDDOWN(IF(補助シート!AK$9="あり",0.5,1)*ROUNDDOWN(IF(補助シート!$I21="なし",1,補助シート!AK44)*(ROUNDDOWN(IF(AND(補助シート!AK$9="大防御",NOT(補助シート!$J44="高")),0.1,1)*ROUNDDOWN(IF(AND(補助シート!AI$7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AK$6=1,補助シート!$AQ21="隊列"))),2,1)*ROUNDDOWN(HLOOKUP(補助シート!AK$6,敵隊列,MATCH($F41,敵技リスト,0)+1)*(IF(補助シート!$J21="物理",補助シート!AK21,IF(補助シート!$J21="魔",補助シート!AK89,VLOOKUP($F41,敵技,3,0)))),0)),0)),0)-IF(OR(補助シート!$J21="魔",補助シート!$I21="なし",補助シート!$I21="念",補助シート!$I21="叩"),0,HLOOKUP(補助シート!$I21,味方耐性,補助シート!AK$12,0)),0)),0),0)),IF(OR(補助シート!$I55="念",補助シート!$I55="叩"),補助シート!AK55,IF(OR(補助シート!$J55="燃",補助シート!$J55="凍"),補助シート!AK67,ROUNDDOWN(補助シート!AK21*VLOOKUP($F41,敵技,7+$K$31,0),0)))))</f>
        <v>143</v>
      </c>
      <c r="AO41" s="199"/>
      <c r="AP41" s="198">
        <f ca="1">IF(OR($B41="",AP$35="",$F41=""),"",IF($K$33="あり",IF(補助シート!$AR21="全体",$K$31,IF(補助シート!$AR21="３回",3,1)),1)*IF(AND(NOT(補助シート!$AQ21="回転"),NOT(補助シート!$I55="念"),NOT(補助シート!$I55="叩"),NOT(補助シート!$J55="燃"),NOT(補助シート!$J55="凍")),MAX(0,ROUNDDOWN(IF(補助シート!AM$9="あり",0.5,1)*ROUNDDOWN(IF(補助シート!$I21="なし",1,補助シート!AM44)*(ROUNDDOWN(IF(AND(補助シート!AM$9="大防御",NOT(補助シート!$J44="高")),0.1,1)*ROUNDDOWN(IF(AND(補助シート!AM$7="あり",OR(補助シート!$I21="炎",補助シート!$I21="雪")),0.5,1)*(ROUNDDOWN(IF(AND(OR(補助シート!$J21="物理",補助シート!$J21="魔"),$L41="あり",NOT(補助シート!$AQ21="倍無")),補助シート!$F$45,1)*(IF(AND(OR(補助シート!$J21="物理",補助シート!$J21="魔"),$J41="あり",NOT(補助シート!$AQ21="倍無"),OR(NOT(補助シート!$AQ21="隊列"),AND(補助シート!AM$6=1,補助シート!$AQ21="隊列"))),2,1)*ROUNDDOWN(HLOOKUP(補助シート!AM$6,敵隊列,MATCH($F41,敵技リスト,0)+1)*(IF(補助シート!$J21="物理",補助シート!AM21,IF(補助シート!$J21="魔",補助シート!AM89,VLOOKUP($F41,敵技,2,0)))),0)),0)),0)-IF(OR(補助シート!$J21="魔",補助シート!$I21="なし",補助シート!$I21="念",補助シート!$I21="叩"),0,HLOOKUP(補助シート!$I21,味方耐性,補助シート!AM$12,0)),0)),0),0)),IF(OR(補助シート!$I55="念",補助シート!$I55="叩"),補助シート!AM55,IF(OR(補助シート!$J55="燃",補助シート!$J55="凍"),補助シート!AM67,ROUNDDOWN(補助シート!AM21*VLOOKUP($F41,敵技,7+$K$31,0),0)))))</f>
        <v>122</v>
      </c>
      <c r="AQ41" s="199"/>
      <c r="AR41" s="198">
        <f ca="1">IF(OR($B41="",AP$35="",$F41=""),"",IF($K$33="あり",IF(補助シート!$AR21="全体",$K$31,IF(補助シート!$AR21="３回",3,1)),1)*IF(AND(NOT(補助シート!$AQ21="回転"),NOT(補助シート!$I55="念"),NOT(補助シート!$I55="叩"),NOT(補助シート!$J55="燃"),NOT(補助シート!$J55="凍")),MAX(IF(補助シート!$I23="なし",1,0),ROUNDDOWN(IF(補助シート!AO$9="あり",0.5,1)*ROUNDDOWN(IF(補助シート!$I21="なし",1,補助シート!AO44)*(ROUNDDOWN(IF(AND(補助シート!AO$9="大防御",NOT(補助シート!$J44="高")),0.1,1)*ROUNDDOWN(IF(AND(補助シート!AM$7="あり",OR(補助シート!$I21="炎",補助シート!$I21="雪")),0.5,1)*(ROUNDDOWN(IF(AND(OR(補助シート!$J21="物理",補助シート!$J21="魔"),$L41="あり",NOT(補助シート!$AQ21="倍無")),補助シート!$F$46,1)*(IF(AND(OR(補助シート!$J21="物理",補助シート!$J21="魔"),$J41="あり",NOT(補助シート!$AQ21="倍無"),OR(NOT(補助シート!$AQ21="隊列"),AND(補助シート!AO$6=1,補助シート!$AQ21="隊列"))),2,1)*ROUNDDOWN(HLOOKUP(補助シート!AO$6,敵隊列,MATCH($F41,敵技リスト,0)+1)*(IF(補助シート!$J21="物理",補助シート!AO21,IF(補助シート!$J21="魔",補助シート!AO89,VLOOKUP($F41,敵技,3,0)))),0)),0)),0)-IF(OR(補助シート!$J21="魔",補助シート!$I21="なし",補助シート!$I21="念",補助シート!$I21="叩"),0,HLOOKUP(補助シート!$I21,味方耐性,補助シート!AO$12,0)),0)),0),0)),IF(OR(補助シート!$I55="念",補助シート!$I55="叩"),補助シート!AO55,IF(OR(補助シート!$J55="燃",補助シート!$J55="凍"),補助シート!AO67,ROUNDDOWN(補助シート!AO21*VLOOKUP($F41,敵技,7+$K$31,0),0)))))</f>
        <v>126</v>
      </c>
      <c r="AS41" s="199"/>
      <c r="AT41" s="64"/>
      <c r="AU41" s="72"/>
    </row>
    <row r="42" spans="1:47" x14ac:dyDescent="0.15">
      <c r="A42" s="70"/>
      <c r="B42" s="196" t="str">
        <f t="shared" ca="1" si="1"/>
        <v>みぎて</v>
      </c>
      <c r="C42" s="197"/>
      <c r="D42" s="197"/>
      <c r="E42" s="200"/>
      <c r="F42" s="183" t="s">
        <v>511</v>
      </c>
      <c r="G42" s="184"/>
      <c r="H42" s="184"/>
      <c r="I42" s="185"/>
      <c r="J42" s="189" t="s">
        <v>466</v>
      </c>
      <c r="K42" s="190"/>
      <c r="L42" s="189" t="s">
        <v>466</v>
      </c>
      <c r="M42" s="190"/>
      <c r="N42" s="198">
        <f ca="1">IF(OR($B42="",N$35="",$F42=""),"",IF($K$33="あり",IF(補助シート!$AR22="全体",$K$31,IF(補助シート!$AR22="３回",3,1)),1)*IF(AND(NOT(補助シート!$AQ22="回転"),NOT(補助シート!$I56="念"),NOT(補助シート!$I56="叩"),NOT(補助シート!$J56="燃"),NOT(補助シート!$J56="凍")),MAX(0,ROUNDDOWN(IF(補助シート!K$9="あり",0.5,1)*ROUNDDOWN(IF(補助シート!$I22="なし",1,補助シート!K45)*(ROUNDDOWN(IF(AND(補助シート!K$9="大防御",NOT(補助シート!$J45="高")),0.1,1)*ROUNDDOWN(IF(AND(補助シート!K$7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K$6=1,補助シート!$AQ22="隊列"))),2,1)*ROUNDDOWN(HLOOKUP(補助シート!K$6,敵隊列,MATCH($F42,敵技リスト,0)+1)*(IF(補助シート!$J22="物理",補助シート!K22,IF(補助シート!$J22="魔",補助シート!K90,VLOOKUP($F42,敵技,2,0)))),0)),0)),0)-IF(OR(補助シート!$J22="魔",補助シート!$I22="なし",補助シート!$I22="念",補助シート!$I22="叩"),0,HLOOKUP(補助シート!$I22,味方耐性,補助シート!K$12,0)),0)),0),0)),IF(OR(補助シート!$I56="念",補助シート!$I56="叩"),補助シート!K56,IF(OR(補助シート!$J56="燃",補助シート!$J56="凍"),補助シート!K68,ROUNDDOWN(補助シート!K22*VLOOKUP($F42,敵技,7+$K$31,0),0)))))</f>
        <v>152</v>
      </c>
      <c r="O42" s="199"/>
      <c r="P42" s="198">
        <f ca="1">IF(OR($B42="",N$35="",$F42=""),"",IF($K$33="あり",IF(補助シート!$AR22="全体",$K$31,IF(補助シート!$AR22="３回",3,1)),1)*IF(AND(NOT(補助シート!$AQ22="回転"),NOT(補助シート!$I56="念"),NOT(補助シート!$I56="叩"),NOT(補助シート!$J56="燃"),NOT(補助シート!$J56="凍")),MAX(IF(補助シート!$I24="なし",1,0),ROUNDDOWN(IF(補助シート!M$9="あり",0.5,1)*ROUNDDOWN(IF(補助シート!$I22="なし",1,補助シート!M45)*(ROUNDDOWN(IF(AND(補助シート!M$9="大防御",NOT(補助シート!$J45="高")),0.1,1)*ROUNDDOWN(IF(AND(補助シート!K$7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M$6=1,補助シート!$AQ22="隊列"))),2,1)*ROUNDDOWN(HLOOKUP(補助シート!M$6,敵隊列,MATCH($F42,敵技リスト,0)+1)*(IF(補助シート!$J22="物理",補助シート!M22,IF(補助シート!$J22="魔",補助シート!M90,VLOOKUP($F42,敵技,3,0)))),0)),0)),0)-IF(OR(補助シート!$J22="魔",補助シート!$I22="なし",補助シート!$I22="念",補助シート!$I22="叩"),0,HLOOKUP(補助シート!$I22,味方耐性,補助シート!M$12,0)),0)),0),0)),IF(OR(補助シート!$I56="念",補助シート!$I56="叩"),補助シート!M56,IF(OR(補助シート!$J56="燃",補助シート!$J56="凍"),補助シート!M68,ROUNDDOWN(補助シート!M22*VLOOKUP($F42,敵技,7+$K$31,0),0)))))</f>
        <v>159</v>
      </c>
      <c r="Q42" s="199"/>
      <c r="R42" s="198">
        <f ca="1">IF(OR($B42="",R$35="",$F42=""),"",IF($K$33="あり",IF(補助シート!$AR22="全体",$K$31,IF(補助シート!$AR22="３回",3,1)),1)*IF(AND(NOT(補助シート!$AQ22="回転"),NOT(補助シート!$I56="念"),NOT(補助シート!$I56="叩"),NOT(補助シート!$J56="燃"),NOT(補助シート!$J56="凍")),MAX(0,ROUNDDOWN(IF(補助シート!O$9="あり",0.5,1)*ROUNDDOWN(IF(補助シート!$I22="なし",1,補助シート!O45)*(ROUNDDOWN(IF(AND(補助シート!O$9="大防御",NOT(補助シート!$J45="高")),0.1,1)*ROUNDDOWN(IF(AND(補助シート!O$7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O$6=1,補助シート!$AQ22="隊列"))),2,1)*ROUNDDOWN(HLOOKUP(補助シート!O$6,敵隊列,MATCH($F42,敵技リスト,0)+1)*(IF(補助シート!$J22="物理",補助シート!O22,IF(補助シート!$J22="魔",補助シート!O90,VLOOKUP($F42,敵技,2,0)))),0)),0)),0)-IF(OR(補助シート!$J22="魔",補助シート!$I22="なし",補助シート!$I22="念",補助シート!$I22="叩"),0,HLOOKUP(補助シート!$I22,味方耐性,補助シート!O$12,0)),0)),0),0)),IF(OR(補助シート!$I56="念",補助シート!$I56="叩"),補助シート!O56,IF(OR(補助シート!$J56="燃",補助シート!$J56="凍"),補助シート!O68,ROUNDDOWN(補助シート!O22*VLOOKUP($F42,敵技,7+$K$31,0),0)))))</f>
        <v>144</v>
      </c>
      <c r="S42" s="199"/>
      <c r="T42" s="198">
        <f ca="1">IF(OR($B42="",R$35="",$F42=""),"",IF($K$33="あり",IF(補助シート!$AR22="全体",$K$31,IF(補助シート!$AR22="３回",3,1)),1)*IF(AND(NOT(補助シート!$AQ22="回転"),NOT(補助シート!$I56="念"),NOT(補助シート!$I56="叩"),NOT(補助シート!$J56="燃"),NOT(補助シート!$J56="凍")),MAX(IF(補助シート!$I24="なし",1,0),ROUNDDOWN(IF(補助シート!Q$9="あり",0.5,1)*ROUNDDOWN(IF(補助シート!$I22="なし",1,補助シート!Q45)*(ROUNDDOWN(IF(AND(補助シート!Q$9="大防御",NOT(補助シート!$J45="高")),0.1,1)*ROUNDDOWN(IF(AND(補助シート!O$7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Q$6=1,補助シート!$AQ22="隊列"))),2,1)*ROUNDDOWN(HLOOKUP(補助シート!Q$6,敵隊列,MATCH($F42,敵技リスト,0)+1)*(IF(補助シート!$J22="物理",補助シート!Q22,IF(補助シート!$J22="魔",補助シート!Q90,VLOOKUP($F42,敵技,3,0)))),0)),0)),0)-IF(OR(補助シート!$J22="魔",補助シート!$I22="なし",補助シート!$I22="念",補助シート!$I22="叩"),0,HLOOKUP(補助シート!$I22,味方耐性,補助シート!Q$12,0)),0)),0),0)),IF(OR(補助シート!$I56="念",補助シート!$I56="叩"),補助シート!Q56,IF(OR(補助シート!$J56="燃",補助シート!$J56="凍"),補助シート!Q68,ROUNDDOWN(補助シート!Q22*VLOOKUP($F42,敵技,7+$K$31,0),0)))))</f>
        <v>151</v>
      </c>
      <c r="U42" s="199"/>
      <c r="V42" s="198">
        <f ca="1">IF(OR($B42="",V$35="",$F42=""),"",IF($K$33="あり",IF(補助シート!$AR22="全体",$K$31,IF(補助シート!$AR22="３回",3,1)),1)*IF(AND(NOT(補助シート!$AQ22="回転"),NOT(補助シート!$I56="念"),NOT(補助シート!$I56="叩"),NOT(補助シート!$J56="燃"),NOT(補助シート!$J56="凍")),MAX(0,ROUNDDOWN(IF(補助シート!S$9="あり",0.5,1)*ROUNDDOWN(IF(補助シート!$I22="なし",1,補助シート!S45)*(ROUNDDOWN(IF(AND(補助シート!S$9="大防御",NOT(補助シート!$J45="高")),0.1,1)*ROUNDDOWN(IF(AND(補助シート!S$7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S$6=1,補助シート!$AQ22="隊列"))),2,1)*ROUNDDOWN(HLOOKUP(補助シート!S$6,敵隊列,MATCH($F42,敵技リスト,0)+1)*(IF(補助シート!$J22="物理",補助シート!S22,IF(補助シート!$J22="魔",補助シート!S90,VLOOKUP($F42,敵技,2,0)))),0)),0)),0)-IF(OR(補助シート!$J22="魔",補助シート!$I22="なし",補助シート!$I22="念",補助シート!$I22="叩"),0,HLOOKUP(補助シート!$I22,味方耐性,補助シート!S$12,0)),0)),0),0)),IF(OR(補助シート!$I56="念",補助シート!$I56="叩"),補助シート!S56,IF(OR(補助シート!$J56="燃",補助シート!$J56="凍"),補助シート!S68,ROUNDDOWN(補助シート!S22*VLOOKUP($F42,敵技,7+$K$31,0),0)))))</f>
        <v>164</v>
      </c>
      <c r="W42" s="199"/>
      <c r="X42" s="198">
        <f ca="1">IF(OR($B42="",V$35="",$F42=""),"",IF($K$33="あり",IF(補助シート!$AR22="全体",$K$31,IF(補助シート!$AR22="３回",3,1)),1)*IF(AND(NOT(補助シート!$AQ22="回転"),NOT(補助シート!$I56="念"),NOT(補助シート!$I56="叩"),NOT(補助シート!$J56="燃"),NOT(補助シート!$J56="凍")),MAX(IF(補助シート!$I24="なし",1,0),ROUNDDOWN(IF(補助シート!U$9="あり",0.5,1)*ROUNDDOWN(IF(補助シート!$I22="なし",1,補助シート!U45)*(ROUNDDOWN(IF(AND(補助シート!U$9="大防御",NOT(補助シート!$J45="高")),0.1,1)*ROUNDDOWN(IF(AND(補助シート!S$7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U$6=1,補助シート!$AQ22="隊列"))),2,1)*ROUNDDOWN(HLOOKUP(補助シート!U$6,敵隊列,MATCH($F42,敵技リスト,0)+1)*(IF(補助シート!$J22="物理",補助シート!U22,IF(補助シート!$J22="魔",補助シート!U90,VLOOKUP($F42,敵技,3,0)))),0)),0)),0)-IF(OR(補助シート!$J22="魔",補助シート!$I22="なし",補助シート!$I22="念",補助シート!$I22="叩"),0,HLOOKUP(補助シート!$I22,味方耐性,補助シート!U$12,0)),0)),0),0)),IF(OR(補助シート!$I56="念",補助シート!$I56="叩"),補助シート!U56,IF(OR(補助シート!$J56="燃",補助シート!$J56="凍"),補助シート!U68,ROUNDDOWN(補助シート!U22*VLOOKUP($F42,敵技,7+$K$31,0),0)))))</f>
        <v>173</v>
      </c>
      <c r="Y42" s="199"/>
      <c r="Z42" s="198">
        <f ca="1">IF(OR($B42="",Z$35="",$F42=""),"",IF($K$33="あり",IF(補助シート!$AR22="全体",$K$31,IF(補助シート!$AR22="３回",3,1)),1)*IF(AND(NOT(補助シート!$AQ22="回転"),NOT(補助シート!$I56="念"),NOT(補助シート!$I56="叩"),NOT(補助シート!$J56="燃"),NOT(補助シート!$J56="凍")),MAX(0,ROUNDDOWN(IF(補助シート!W$9="あり",0.5,1)*ROUNDDOWN(IF(補助シート!$I22="なし",1,補助シート!W45)*(ROUNDDOWN(IF(AND(補助シート!W$9="大防御",NOT(補助シート!$J45="高")),0.1,1)*ROUNDDOWN(IF(AND(補助シート!W$7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W$6=1,補助シート!$AQ22="隊列"))),2,1)*ROUNDDOWN(HLOOKUP(補助シート!W$6,敵隊列,MATCH($F42,敵技リスト,0)+1)*(IF(補助シート!$J22="物理",補助シート!W22,IF(補助シート!$J22="魔",補助シート!W90,VLOOKUP($F42,敵技,2,0)))),0)),0)),0)-IF(OR(補助シート!$J22="魔",補助シート!$I22="なし",補助シート!$I22="念",補助シート!$I22="叩"),0,HLOOKUP(補助シート!$I22,味方耐性,補助シート!W$12,0)),0)),0),0)),IF(OR(補助シート!$I56="念",補助シート!$I56="叩"),補助シート!W56,IF(OR(補助シート!$J56="燃",補助シート!$J56="凍"),補助シート!W68,ROUNDDOWN(補助シート!W22*VLOOKUP($F42,敵技,7+$K$31,0),0)))))</f>
        <v>171</v>
      </c>
      <c r="AA42" s="199"/>
      <c r="AB42" s="198">
        <f ca="1">IF(OR($B42="",Z$35="",$F42=""),"",IF($K$33="あり",IF(補助シート!$AR22="全体",$K$31,IF(補助シート!$AR22="３回",3,1)),1)*IF(AND(NOT(補助シート!$AQ22="回転"),NOT(補助シート!$I56="念"),NOT(補助シート!$I56="叩"),NOT(補助シート!$J56="燃"),NOT(補助シート!$J56="凍")),MAX(IF(補助シート!$I24="なし",1,0),ROUNDDOWN(IF(補助シート!Y$9="あり",0.5,1)*ROUNDDOWN(IF(補助シート!$I22="なし",1,補助シート!Y45)*(ROUNDDOWN(IF(AND(補助シート!Y$9="大防御",NOT(補助シート!$J45="高")),0.1,1)*ROUNDDOWN(IF(AND(補助シート!W$7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Y$6=1,補助シート!$AQ22="隊列"))),2,1)*ROUNDDOWN(HLOOKUP(補助シート!Y$6,敵隊列,MATCH($F42,敵技リスト,0)+1)*(IF(補助シート!$J22="物理",補助シート!Y22,IF(補助シート!$J22="魔",補助シート!Y90,VLOOKUP($F42,敵技,3,0)))),0)),0)),0)-IF(OR(補助シート!$J22="魔",補助シート!$I22="なし",補助シート!$I22="念",補助シート!$I22="叩"),0,HLOOKUP(補助シート!$I22,味方耐性,補助シート!Y$12,0)),0)),0),0)),IF(OR(補助シート!$I56="念",補助シート!$I56="叩"),補助シート!Y56,IF(OR(補助シート!$J56="燃",補助シート!$J56="凍"),補助シート!Y68,ROUNDDOWN(補助シート!Y22*VLOOKUP($F42,敵技,7+$K$31,0),0)))))</f>
        <v>181</v>
      </c>
      <c r="AC42" s="199"/>
      <c r="AD42" s="198">
        <f ca="1">IF(OR($B42="",AD$35="",$F42=""),"",IF($K$33="あり",IF(補助シート!$AR22="全体",$K$31,IF(補助シート!$AR22="３回",3,1)),1)*IF(AND(NOT(補助シート!$AQ22="回転"),NOT(補助シート!$I56="念"),NOT(補助シート!$I56="叩"),NOT(補助シート!$J56="燃"),NOT(補助シート!$J56="凍")),MAX(0,ROUNDDOWN(IF(補助シート!AA$9="あり",0.5,1)*ROUNDDOWN(IF(補助シート!$I22="なし",1,補助シート!AA45)*(ROUNDDOWN(IF(AND(補助シート!AA$9="大防御",NOT(補助シート!$J45="高")),0.1,1)*ROUNDDOWN(IF(AND(補助シート!AA$7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AA$6=1,補助シート!$AQ22="隊列"))),2,1)*ROUNDDOWN(HLOOKUP(補助シート!AA$6,敵隊列,MATCH($F42,敵技リスト,0)+1)*(IF(補助シート!$J22="物理",補助シート!AA22,IF(補助シート!$J22="魔",補助シート!AA90,VLOOKUP($F42,敵技,2,0)))),0)),0)),0)-IF(OR(補助シート!$J22="魔",補助シート!$I22="なし",補助シート!$I22="念",補助シート!$I22="叩"),0,HLOOKUP(補助シート!$I22,味方耐性,補助シート!AA$12,0)),0)),0),0)),IF(OR(補助シート!$I56="念",補助シート!$I56="叩"),補助シート!AA56,IF(OR(補助シート!$J56="燃",補助シート!$J56="凍"),補助シート!AA68,ROUNDDOWN(補助シート!AA22*VLOOKUP($F42,敵技,7+$K$31,0),0)))))</f>
        <v>166</v>
      </c>
      <c r="AE42" s="199"/>
      <c r="AF42" s="198">
        <f ca="1">IF(OR($B42="",AD$35="",$F42=""),"",IF($K$33="あり",IF(補助シート!$AR22="全体",$K$31,IF(補助シート!$AR22="３回",3,1)),1)*IF(AND(NOT(補助シート!$AQ22="回転"),NOT(補助シート!$I56="念"),NOT(補助シート!$I56="叩"),NOT(補助シート!$J56="燃"),NOT(補助シート!$J56="凍")),MAX(IF(補助シート!$I24="なし",1,0),ROUNDDOWN(IF(補助シート!AC$9="あり",0.5,1)*ROUNDDOWN(IF(補助シート!$I22="なし",1,補助シート!AC45)*(ROUNDDOWN(IF(AND(補助シート!AC$9="大防御",NOT(補助シート!$J45="高")),0.1,1)*ROUNDDOWN(IF(AND(補助シート!AA$7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AC$6=1,補助シート!$AQ22="隊列"))),2,1)*ROUNDDOWN(HLOOKUP(補助シート!AC$6,敵隊列,MATCH($F42,敵技リスト,0)+1)*(IF(補助シート!$J22="物理",補助シート!AC22,IF(補助シート!$J22="魔",補助シート!AC90,VLOOKUP($F42,敵技,3,0)))),0)),0)),0)-IF(OR(補助シート!$J22="魔",補助シート!$I22="なし",補助シート!$I22="念",補助シート!$I22="叩"),0,HLOOKUP(補助シート!$I22,味方耐性,補助シート!AC$12,0)),0)),0),0)),IF(OR(補助シート!$I56="念",補助シート!$I56="叩"),補助シート!AC56,IF(OR(補助シート!$J56="燃",補助シート!$J56="凍"),補助シート!AC68,ROUNDDOWN(補助シート!AC22*VLOOKUP($F42,敵技,7+$K$31,0),0)))))</f>
        <v>175</v>
      </c>
      <c r="AG42" s="199"/>
      <c r="AH42" s="198">
        <f ca="1">IF(OR($B42="",AH$35="",$F42=""),"",IF($K$33="あり",IF(補助シート!$AR22="全体",$K$31,IF(補助シート!$AR22="３回",3,1)),1)*IF(AND(NOT(補助シート!$AQ22="回転"),NOT(補助シート!$I56="念"),NOT(補助シート!$I56="叩"),NOT(補助シート!$J56="燃"),NOT(補助シート!$J56="凍")),MAX(0,ROUNDDOWN(IF(補助シート!AE$9="あり",0.5,1)*ROUNDDOWN(IF(補助シート!$I22="なし",1,補助シート!AE45)*(ROUNDDOWN(IF(AND(補助シート!AE$9="大防御",NOT(補助シート!$J45="高")),0.1,1)*ROUNDDOWN(IF(AND(補助シート!AE$7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AE$6=1,補助シート!$AQ22="隊列"))),2,1)*ROUNDDOWN(HLOOKUP(補助シート!AE$6,敵隊列,MATCH($F42,敵技リスト,0)+1)*(IF(補助シート!$J22="物理",補助シート!AE22,IF(補助シート!$J22="魔",補助シート!AE90,VLOOKUP($F42,敵技,2,0)))),0)),0)),0)-IF(OR(補助シート!$J22="魔",補助シート!$I22="なし",補助シート!$I22="念",補助シート!$I22="叩"),0,HLOOKUP(補助シート!$I22,味方耐性,補助シート!AE$12,0)),0)),0),0)),IF(OR(補助シート!$I56="念",補助シート!$I56="叩"),補助シート!AE56,IF(OR(補助シート!$J56="燃",補助シート!$J56="凍"),補助シート!AE68,ROUNDDOWN(補助シート!AE22*VLOOKUP($F42,敵技,7+$K$31,0),0)))))</f>
        <v>161</v>
      </c>
      <c r="AI42" s="199"/>
      <c r="AJ42" s="198">
        <f ca="1">IF(OR($B42="",AH$35="",$F42=""),"",IF($K$33="あり",IF(補助シート!$AR22="全体",$K$31,IF(補助シート!$AR22="３回",3,1)),1)*IF(AND(NOT(補助シート!$AQ22="回転"),NOT(補助シート!$I56="念"),NOT(補助シート!$I56="叩"),NOT(補助シート!$J56="燃"),NOT(補助シート!$J56="凍")),MAX(IF(補助シート!$I24="なし",1,0),ROUNDDOWN(IF(補助シート!AG$9="あり",0.5,1)*ROUNDDOWN(IF(補助シート!$I22="なし",1,補助シート!AG45)*(ROUNDDOWN(IF(AND(補助シート!AG$9="大防御",NOT(補助シート!$J45="高")),0.1,1)*ROUNDDOWN(IF(AND(補助シート!AE$7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AG$6=1,補助シート!$AQ22="隊列"))),2,1)*ROUNDDOWN(HLOOKUP(補助シート!AG$6,敵隊列,MATCH($F42,敵技リスト,0)+1)*(IF(補助シート!$J22="物理",補助シート!AG22,IF(補助シート!$J22="魔",補助シート!AG90,VLOOKUP($F42,敵技,3,0)))),0)),0)),0)-IF(OR(補助シート!$J22="魔",補助シート!$I22="なし",補助シート!$I22="念",補助シート!$I22="叩"),0,HLOOKUP(補助シート!$I22,味方耐性,補助シート!AG$12,0)),0)),0),0)),IF(OR(補助シート!$I56="念",補助シート!$I56="叩"),補助シート!AG56,IF(OR(補助シート!$J56="燃",補助シート!$J56="凍"),補助シート!AG68,ROUNDDOWN(補助シート!AG22*VLOOKUP($F42,敵技,7+$K$31,0),0)))))</f>
        <v>170</v>
      </c>
      <c r="AK42" s="199"/>
      <c r="AL42" s="198">
        <f ca="1">IF(OR($B42="",AL$35="",$F42=""),"",IF($K$33="あり",IF(補助シート!$AR22="全体",$K$31,IF(補助シート!$AR22="３回",3,1)),1)*IF(AND(NOT(補助シート!$AQ22="回転"),NOT(補助シート!$I56="念"),NOT(補助シート!$I56="叩"),NOT(補助シート!$J56="燃"),NOT(補助シート!$J56="凍")),MAX(0,ROUNDDOWN(IF(補助シート!AI$9="あり",0.5,1)*ROUNDDOWN(IF(補助シート!$I22="なし",1,補助シート!AI45)*(ROUNDDOWN(IF(AND(補助シート!AI$9="大防御",NOT(補助シート!$J45="高")),0.1,1)*ROUNDDOWN(IF(AND(補助シート!AI$7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AI$6=1,補助シート!$AQ22="隊列"))),2,1)*ROUNDDOWN(HLOOKUP(補助シート!AI$6,敵隊列,MATCH($F42,敵技リスト,0)+1)*(IF(補助シート!$J22="物理",補助シート!AI22,IF(補助シート!$J22="魔",補助シート!AI90,VLOOKUP($F42,敵技,2,0)))),0)),0)),0)-IF(OR(補助シート!$J22="魔",補助シート!$I22="なし",補助シート!$I22="念",補助シート!$I22="叩"),0,HLOOKUP(補助シート!$I22,味方耐性,補助シート!AI$12,0)),0)),0),0)),IF(OR(補助シート!$I56="念",補助シート!$I56="叩"),補助シート!AI56,IF(OR(補助シート!$J56="燃",補助シート!$J56="凍"),補助シート!AI68,ROUNDDOWN(補助シート!AI22*VLOOKUP($F42,敵技,7+$K$31,0),0)))))</f>
        <v>151</v>
      </c>
      <c r="AM42" s="199"/>
      <c r="AN42" s="198">
        <f ca="1">IF(OR($B42="",AL$35="",$F42=""),"",IF($K$33="あり",IF(補助シート!$AR22="全体",$K$31,IF(補助シート!$AR22="３回",3,1)),1)*IF(AND(NOT(補助シート!$AQ22="回転"),NOT(補助シート!$I56="念"),NOT(補助シート!$I56="叩"),NOT(補助シート!$J56="燃"),NOT(補助シート!$J56="凍")),MAX(IF(補助シート!$I24="なし",1,0),ROUNDDOWN(IF(補助シート!AK$9="あり",0.5,1)*ROUNDDOWN(IF(補助シート!$I22="なし",1,補助シート!AK45)*(ROUNDDOWN(IF(AND(補助シート!AK$9="大防御",NOT(補助シート!$J45="高")),0.1,1)*ROUNDDOWN(IF(AND(補助シート!AI$7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AK$6=1,補助シート!$AQ22="隊列"))),2,1)*ROUNDDOWN(HLOOKUP(補助シート!AK$6,敵隊列,MATCH($F42,敵技リスト,0)+1)*(IF(補助シート!$J22="物理",補助シート!AK22,IF(補助シート!$J22="魔",補助シート!AK90,VLOOKUP($F42,敵技,3,0)))),0)),0)),0)-IF(OR(補助シート!$J22="魔",補助シート!$I22="なし",補助シート!$I22="念",補助シート!$I22="叩"),0,HLOOKUP(補助シート!$I22,味方耐性,補助シート!AK$12,0)),0)),0),0)),IF(OR(補助シート!$I56="念",補助シート!$I56="叩"),補助シート!AK56,IF(OR(補助シート!$J56="燃",補助シート!$J56="凍"),補助シート!AK68,ROUNDDOWN(補助シート!AK22*VLOOKUP($F42,敵技,7+$K$31,0),0)))))</f>
        <v>158</v>
      </c>
      <c r="AO42" s="199"/>
      <c r="AP42" s="198">
        <f ca="1">IF(OR($B42="",AP$35="",$F42=""),"",IF($K$33="あり",IF(補助シート!$AR22="全体",$K$31,IF(補助シート!$AR22="３回",3,1)),1)*IF(AND(NOT(補助シート!$AQ22="回転"),NOT(補助シート!$I56="念"),NOT(補助シート!$I56="叩"),NOT(補助シート!$J56="燃"),NOT(補助シート!$J56="凍")),MAX(0,ROUNDDOWN(IF(補助シート!AM$9="あり",0.5,1)*ROUNDDOWN(IF(補助シート!$I22="なし",1,補助シート!AM45)*(ROUNDDOWN(IF(AND(補助シート!AM$9="大防御",NOT(補助シート!$J45="高")),0.1,1)*ROUNDDOWN(IF(AND(補助シート!AM$7="あり",OR(補助シート!$I22="炎",補助シート!$I22="雪")),0.5,1)*(ROUNDDOWN(IF(AND(OR(補助シート!$J22="物理",補助シート!$J22="魔"),$L42="あり",NOT(補助シート!$AQ22="倍無")),補助シート!$F$45,1)*(IF(AND(OR(補助シート!$J22="物理",補助シート!$J22="魔"),$J42="あり",NOT(補助シート!$AQ22="倍無"),OR(NOT(補助シート!$AQ22="隊列"),AND(補助シート!AM$6=1,補助シート!$AQ22="隊列"))),2,1)*ROUNDDOWN(HLOOKUP(補助シート!AM$6,敵隊列,MATCH($F42,敵技リスト,0)+1)*(IF(補助シート!$J22="物理",補助シート!AM22,IF(補助シート!$J22="魔",補助シート!AM90,VLOOKUP($F42,敵技,2,0)))),0)),0)),0)-IF(OR(補助シート!$J22="魔",補助シート!$I22="なし",補助シート!$I22="念",補助シート!$I22="叩"),0,HLOOKUP(補助シート!$I22,味方耐性,補助シート!AM$12,0)),0)),0),0)),IF(OR(補助シート!$I56="念",補助シート!$I56="叩"),補助シート!AM56,IF(OR(補助シート!$J56="燃",補助シート!$J56="凍"),補助シート!AM68,ROUNDDOWN(補助シート!AM22*VLOOKUP($F42,敵技,7+$K$31,0),0)))))</f>
        <v>137</v>
      </c>
      <c r="AQ42" s="199"/>
      <c r="AR42" s="198">
        <f ca="1">IF(OR($B42="",AP$35="",$F42=""),"",IF($K$33="あり",IF(補助シート!$AR22="全体",$K$31,IF(補助シート!$AR22="３回",3,1)),1)*IF(AND(NOT(補助シート!$AQ22="回転"),NOT(補助シート!$I56="念"),NOT(補助シート!$I56="叩"),NOT(補助シート!$J56="燃"),NOT(補助シート!$J56="凍")),MAX(IF(補助シート!$I24="なし",1,0),ROUNDDOWN(IF(補助シート!AO$9="あり",0.5,1)*ROUNDDOWN(IF(補助シート!$I22="なし",1,補助シート!AO45)*(ROUNDDOWN(IF(AND(補助シート!AO$9="大防御",NOT(補助シート!$J45="高")),0.1,1)*ROUNDDOWN(IF(AND(補助シート!AM$7="あり",OR(補助シート!$I22="炎",補助シート!$I22="雪")),0.5,1)*(ROUNDDOWN(IF(AND(OR(補助シート!$J22="物理",補助シート!$J22="魔"),$L42="あり",NOT(補助シート!$AQ22="倍無")),補助シート!$F$46,1)*(IF(AND(OR(補助シート!$J22="物理",補助シート!$J22="魔"),$J42="あり",NOT(補助シート!$AQ22="倍無"),OR(NOT(補助シート!$AQ22="隊列"),AND(補助シート!AO$6=1,補助シート!$AQ22="隊列"))),2,1)*ROUNDDOWN(HLOOKUP(補助シート!AO$6,敵隊列,MATCH($F42,敵技リスト,0)+1)*(IF(補助シート!$J22="物理",補助シート!AO22,IF(補助シート!$J22="魔",補助シート!AO90,VLOOKUP($F42,敵技,3,0)))),0)),0)),0)-IF(OR(補助シート!$J22="魔",補助シート!$I22="なし",補助シート!$I22="念",補助シート!$I22="叩"),0,HLOOKUP(補助シート!$I22,味方耐性,補助シート!AO$12,0)),0)),0),0)),IF(OR(補助シート!$I56="念",補助シート!$I56="叩"),補助シート!AO56,IF(OR(補助シート!$J56="燃",補助シート!$J56="凍"),補助シート!AO68,ROUNDDOWN(補助シート!AO22*VLOOKUP($F42,敵技,7+$K$31,0),0)))))</f>
        <v>142</v>
      </c>
      <c r="AS42" s="199"/>
      <c r="AT42" s="64"/>
      <c r="AU42" s="72"/>
    </row>
    <row r="43" spans="1:47" x14ac:dyDescent="0.15">
      <c r="A43" s="70"/>
      <c r="B43" s="196" t="str">
        <f t="shared" ca="1" si="1"/>
        <v>みぎて</v>
      </c>
      <c r="C43" s="197"/>
      <c r="D43" s="197"/>
      <c r="E43" s="200"/>
      <c r="F43" s="183" t="s">
        <v>210</v>
      </c>
      <c r="G43" s="184"/>
      <c r="H43" s="184"/>
      <c r="I43" s="185"/>
      <c r="J43" s="201" t="s">
        <v>466</v>
      </c>
      <c r="K43" s="202"/>
      <c r="L43" s="201" t="s">
        <v>466</v>
      </c>
      <c r="M43" s="202"/>
      <c r="N43" s="198">
        <f ca="1">IF(OR($B43="",N$35="",$F43=""),"",IF($K$33="あり",IF(補助シート!$AR23="全体",$K$31,IF(補助シート!$AR23="３回",3,1)),1)*IF(AND(NOT(補助シート!$AQ23="回転"),NOT(補助シート!$I57="念"),NOT(補助シート!$I57="叩"),NOT(補助シート!$J57="燃"),NOT(補助シート!$J57="凍")),MAX(0,ROUNDDOWN(IF(補助シート!K$9="あり",0.5,1)*ROUNDDOWN(IF(補助シート!$I23="なし",1,補助シート!K46)*(ROUNDDOWN(IF(AND(補助シート!K$9="大防御",NOT(補助シート!$J46="高")),0.1,1)*ROUNDDOWN(IF(AND(補助シート!K$7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K$6=1,補助シート!$AQ23="隊列"))),2,1)*ROUNDDOWN(HLOOKUP(補助シート!K$6,敵隊列,MATCH($F43,敵技リスト,0)+1)*(IF(補助シート!$J23="物理",補助シート!K23,IF(補助シート!$J23="魔",補助シート!K91,VLOOKUP($F43,敵技,2,0)))),0)),0)),0)-IF(OR(補助シート!$J23="魔",補助シート!$I23="なし",補助シート!$I23="念",補助シート!$I23="叩"),0,HLOOKUP(補助シート!$I23,味方耐性,補助シート!K$12,0)),0)),0),0)),IF(OR(補助シート!$I57="念",補助シート!$I57="叩"),補助シート!K57,IF(OR(補助シート!$J57="燃",補助シート!$J57="凍"),補助シート!K69,ROUNDDOWN(補助シート!K23*VLOOKUP($F43,敵技,7+$K$31,0),0)))))</f>
        <v>208</v>
      </c>
      <c r="O43" s="199"/>
      <c r="P43" s="198">
        <f ca="1">IF(OR($B43="",N$35="",$F43=""),"",IF($K$33="あり",IF(補助シート!$AR23="全体",$K$31,IF(補助シート!$AR23="３回",3,1)),1)*IF(AND(NOT(補助シート!$AQ23="回転"),NOT(補助シート!$I57="念"),NOT(補助シート!$I57="叩"),NOT(補助シート!$J57="燃"),NOT(補助シート!$J57="凍")),MAX(IF(補助シート!$I25="なし",1,0),ROUNDDOWN(IF(補助シート!M$9="あり",0.5,1)*ROUNDDOWN(IF(補助シート!$I23="なし",1,補助シート!M46)*(ROUNDDOWN(IF(AND(補助シート!M$9="大防御",NOT(補助シート!$J46="高")),0.1,1)*ROUNDDOWN(IF(AND(補助シート!K$7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M$6=1,補助シート!$AQ23="隊列"))),2,1)*ROUNDDOWN(HLOOKUP(補助シート!M$6,敵隊列,MATCH($F43,敵技リスト,0)+1)*(IF(補助シート!$J23="物理",補助シート!M23,IF(補助シート!$J23="魔",補助シート!M91,VLOOKUP($F43,敵技,3,0)))),0)),0)),0)-IF(OR(補助シート!$J23="魔",補助シート!$I23="なし",補助シート!$I23="念",補助シート!$I23="叩"),0,HLOOKUP(補助シート!$I23,味方耐性,補助シート!M$12,0)),0)),0),0)),IF(OR(補助シート!$I57="念",補助シート!$I57="叩"),補助シート!M57,IF(OR(補助シート!$J57="燃",補助シート!$J57="凍"),補助シート!M69,ROUNDDOWN(補助シート!M23*VLOOKUP($F43,敵技,7+$K$31,0),0)))))</f>
        <v>236</v>
      </c>
      <c r="Q43" s="199"/>
      <c r="R43" s="198">
        <f ca="1">IF(OR($B43="",R$35="",$F43=""),"",IF($K$33="あり",IF(補助シート!$AR23="全体",$K$31,IF(補助シート!$AR23="３回",3,1)),1)*IF(AND(NOT(補助シート!$AQ23="回転"),NOT(補助シート!$I57="念"),NOT(補助シート!$I57="叩"),NOT(補助シート!$J57="燃"),NOT(補助シート!$J57="凍")),MAX(0,ROUNDDOWN(IF(補助シート!O$9="あり",0.5,1)*ROUNDDOWN(IF(補助シート!$I23="なし",1,補助シート!O46)*(ROUNDDOWN(IF(AND(補助シート!O$9="大防御",NOT(補助シート!$J46="高")),0.1,1)*ROUNDDOWN(IF(AND(補助シート!O$7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O$6=1,補助シート!$AQ23="隊列"))),2,1)*ROUNDDOWN(HLOOKUP(補助シート!O$6,敵隊列,MATCH($F43,敵技リスト,0)+1)*(IF(補助シート!$J23="物理",補助シート!O23,IF(補助シート!$J23="魔",補助シート!O91,VLOOKUP($F43,敵技,2,0)))),0)),0)),0)-IF(OR(補助シート!$J23="魔",補助シート!$I23="なし",補助シート!$I23="念",補助シート!$I23="叩"),0,HLOOKUP(補助シート!$I23,味方耐性,補助シート!O$12,0)),0)),0),0)),IF(OR(補助シート!$I57="念",補助シート!$I57="叩"),補助シート!O57,IF(OR(補助シート!$J57="燃",補助シート!$J57="凍"),補助シート!O69,ROUNDDOWN(補助シート!O23*VLOOKUP($F43,敵技,7+$K$31,0),0)))))</f>
        <v>178</v>
      </c>
      <c r="S43" s="199"/>
      <c r="T43" s="198">
        <f ca="1">IF(OR($B43="",R$35="",$F43=""),"",IF($K$33="あり",IF(補助シート!$AR23="全体",$K$31,IF(補助シート!$AR23="３回",3,1)),1)*IF(AND(NOT(補助シート!$AQ23="回転"),NOT(補助シート!$I57="念"),NOT(補助シート!$I57="叩"),NOT(補助シート!$J57="燃"),NOT(補助シート!$J57="凍")),MAX(IF(補助シート!$I25="なし",1,0),ROUNDDOWN(IF(補助シート!Q$9="あり",0.5,1)*ROUNDDOWN(IF(補助シート!$I23="なし",1,補助シート!Q46)*(ROUNDDOWN(IF(AND(補助シート!Q$9="大防御",NOT(補助シート!$J46="高")),0.1,1)*ROUNDDOWN(IF(AND(補助シート!O$7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Q$6=1,補助シート!$AQ23="隊列"))),2,1)*ROUNDDOWN(HLOOKUP(補助シート!Q$6,敵隊列,MATCH($F43,敵技リスト,0)+1)*(IF(補助シート!$J23="物理",補助シート!Q23,IF(補助シート!$J23="魔",補助シート!Q91,VLOOKUP($F43,敵技,3,0)))),0)),0)),0)-IF(OR(補助シート!$J23="魔",補助シート!$I23="なし",補助シート!$I23="念",補助シート!$I23="叩"),0,HLOOKUP(補助シート!$I23,味方耐性,補助シート!Q$12,0)),0)),0),0)),IF(OR(補助シート!$I57="念",補助シート!$I57="叩"),補助シート!Q57,IF(OR(補助シート!$J57="燃",補助シート!$J57="凍"),補助シート!Q69,ROUNDDOWN(補助シート!Q23*VLOOKUP($F43,敵技,7+$K$31,0),0)))))</f>
        <v>206</v>
      </c>
      <c r="U43" s="199"/>
      <c r="V43" s="198">
        <f ca="1">IF(OR($B43="",V$35="",$F43=""),"",IF($K$33="あり",IF(補助シート!$AR23="全体",$K$31,IF(補助シート!$AR23="３回",3,1)),1)*IF(AND(NOT(補助シート!$AQ23="回転"),NOT(補助シート!$I57="念"),NOT(補助シート!$I57="叩"),NOT(補助シート!$J57="燃"),NOT(補助シート!$J57="凍")),MAX(0,ROUNDDOWN(IF(補助シート!S$9="あり",0.5,1)*ROUNDDOWN(IF(補助シート!$I23="なし",1,補助シート!S46)*(ROUNDDOWN(IF(AND(補助シート!S$9="大防御",NOT(補助シート!$J46="高")),0.1,1)*ROUNDDOWN(IF(AND(補助シート!S$7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S$6=1,補助シート!$AQ23="隊列"))),2,1)*ROUNDDOWN(HLOOKUP(補助シート!S$6,敵隊列,MATCH($F43,敵技リスト,0)+1)*(IF(補助シート!$J23="物理",補助シート!S23,IF(補助シート!$J23="魔",補助シート!S91,VLOOKUP($F43,敵技,2,0)))),0)),0)),0)-IF(OR(補助シート!$J23="魔",補助シート!$I23="なし",補助シート!$I23="念",補助シート!$I23="叩"),0,HLOOKUP(補助シート!$I23,味方耐性,補助シート!S$12,0)),0)),0),0)),IF(OR(補助シート!$I57="念",補助シート!$I57="叩"),補助シート!S57,IF(OR(補助シート!$J57="燃",補助シート!$J57="凍"),補助シート!S69,ROUNDDOWN(補助シート!S23*VLOOKUP($F43,敵技,7+$K$31,0),0)))))</f>
        <v>258</v>
      </c>
      <c r="W43" s="199"/>
      <c r="X43" s="198">
        <f ca="1">IF(OR($B43="",V$35="",$F43=""),"",IF($K$33="あり",IF(補助シート!$AR23="全体",$K$31,IF(補助シート!$AR23="３回",3,1)),1)*IF(AND(NOT(補助シート!$AQ23="回転"),NOT(補助シート!$I57="念"),NOT(補助シート!$I57="叩"),NOT(補助シート!$J57="燃"),NOT(補助シート!$J57="凍")),MAX(IF(補助シート!$I25="なし",1,0),ROUNDDOWN(IF(補助シート!U$9="あり",0.5,1)*ROUNDDOWN(IF(補助シート!$I23="なし",1,補助シート!U46)*(ROUNDDOWN(IF(AND(補助シート!U$9="大防御",NOT(補助シート!$J46="高")),0.1,1)*ROUNDDOWN(IF(AND(補助シート!S$7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U$6=1,補助シート!$AQ23="隊列"))),2,1)*ROUNDDOWN(HLOOKUP(補助シート!U$6,敵隊列,MATCH($F43,敵技リスト,0)+1)*(IF(補助シート!$J23="物理",補助シート!U23,IF(補助シート!$J23="魔",補助シート!U91,VLOOKUP($F43,敵技,3,0)))),0)),0)),0)-IF(OR(補助シート!$J23="魔",補助シート!$I23="なし",補助シート!$I23="念",補助シート!$I23="叩"),0,HLOOKUP(補助シート!$I23,味方耐性,補助シート!U$12,0)),0)),0),0)),IF(OR(補助シート!$I57="念",補助シート!$I57="叩"),補助シート!U57,IF(OR(補助シート!$J57="燃",補助シート!$J57="凍"),補助シート!U69,ROUNDDOWN(補助シート!U23*VLOOKUP($F43,敵技,7+$K$31,0),0)))))</f>
        <v>294</v>
      </c>
      <c r="Y43" s="199"/>
      <c r="Z43" s="198">
        <f ca="1">IF(OR($B43="",Z$35="",$F43=""),"",IF($K$33="あり",IF(補助シート!$AR23="全体",$K$31,IF(補助シート!$AR23="３回",3,1)),1)*IF(AND(NOT(補助シート!$AQ23="回転"),NOT(補助シート!$I57="念"),NOT(補助シート!$I57="叩"),NOT(補助シート!$J57="燃"),NOT(補助シート!$J57="凍")),MAX(0,ROUNDDOWN(IF(補助シート!W$9="あり",0.5,1)*ROUNDDOWN(IF(補助シート!$I23="なし",1,補助シート!W46)*(ROUNDDOWN(IF(AND(補助シート!W$9="大防御",NOT(補助シート!$J46="高")),0.1,1)*ROUNDDOWN(IF(AND(補助シート!W$7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W$6=1,補助シート!$AQ23="隊列"))),2,1)*ROUNDDOWN(HLOOKUP(補助シート!W$6,敵隊列,MATCH($F43,敵技リスト,0)+1)*(IF(補助シート!$J23="物理",補助シート!W23,IF(補助シート!$J23="魔",補助シート!W91,VLOOKUP($F43,敵技,2,0)))),0)),0)),0)-IF(OR(補助シート!$J23="魔",補助シート!$I23="なし",補助シート!$I23="念",補助シート!$I23="叩"),0,HLOOKUP(補助シート!$I23,味方耐性,補助シート!W$12,0)),0)),0),0)),IF(OR(補助シート!$I57="念",補助シート!$I57="叩"),補助シート!W57,IF(OR(補助シート!$J57="燃",補助シート!$J57="凍"),補助シート!W69,ROUNDDOWN(補助シート!W23*VLOOKUP($F43,敵技,7+$K$31,0),0)))))</f>
        <v>284</v>
      </c>
      <c r="AA43" s="199"/>
      <c r="AB43" s="198">
        <f ca="1">IF(OR($B43="",Z$35="",$F43=""),"",IF($K$33="あり",IF(補助シート!$AR23="全体",$K$31,IF(補助シート!$AR23="３回",3,1)),1)*IF(AND(NOT(補助シート!$AQ23="回転"),NOT(補助シート!$I57="念"),NOT(補助シート!$I57="叩"),NOT(補助シート!$J57="燃"),NOT(補助シート!$J57="凍")),MAX(IF(補助シート!$I25="なし",1,0),ROUNDDOWN(IF(補助シート!Y$9="あり",0.5,1)*ROUNDDOWN(IF(補助シート!$I23="なし",1,補助シート!Y46)*(ROUNDDOWN(IF(AND(補助シート!Y$9="大防御",NOT(補助シート!$J46="高")),0.1,1)*ROUNDDOWN(IF(AND(補助シート!W$7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Y$6=1,補助シート!$AQ23="隊列"))),2,1)*ROUNDDOWN(HLOOKUP(補助シート!Y$6,敵隊列,MATCH($F43,敵技リスト,0)+1)*(IF(補助シート!$J23="物理",補助シート!Y23,IF(補助シート!$J23="魔",補助シート!Y91,VLOOKUP($F43,敵技,3,0)))),0)),0)),0)-IF(OR(補助シート!$J23="魔",補助シート!$I23="なし",補助シート!$I23="念",補助シート!$I23="叩"),0,HLOOKUP(補助シート!$I23,味方耐性,補助シート!Y$12,0)),0)),0),0)),IF(OR(補助シート!$I57="念",補助シート!$I57="叩"),補助シート!Y57,IF(OR(補助シート!$J57="燃",補助シート!$J57="凍"),補助シート!Y69,ROUNDDOWN(補助シート!Y23*VLOOKUP($F43,敵技,7+$K$31,0),0)))))</f>
        <v>324</v>
      </c>
      <c r="AC43" s="199"/>
      <c r="AD43" s="198">
        <f ca="1">IF(OR($B43="",AD$35="",$F43=""),"",IF($K$33="あり",IF(補助シート!$AR23="全体",$K$31,IF(補助シート!$AR23="３回",3,1)),1)*IF(AND(NOT(補助シート!$AQ23="回転"),NOT(補助シート!$I57="念"),NOT(補助シート!$I57="叩"),NOT(補助シート!$J57="燃"),NOT(補助シート!$J57="凍")),MAX(0,ROUNDDOWN(IF(補助シート!AA$9="あり",0.5,1)*ROUNDDOWN(IF(補助シート!$I23="なし",1,補助シート!AA46)*(ROUNDDOWN(IF(AND(補助シート!AA$9="大防御",NOT(補助シート!$J46="高")),0.1,1)*ROUNDDOWN(IF(AND(補助シート!AA$7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AA$6=1,補助シート!$AQ23="隊列"))),2,1)*ROUNDDOWN(HLOOKUP(補助シート!AA$6,敵隊列,MATCH($F43,敵技リスト,0)+1)*(IF(補助シート!$J23="物理",補助シート!AA23,IF(補助シート!$J23="魔",補助シート!AA91,VLOOKUP($F43,敵技,2,0)))),0)),0)),0)-IF(OR(補助シート!$J23="魔",補助シート!$I23="なし",補助シート!$I23="念",補助シート!$I23="叩"),0,HLOOKUP(補助シート!$I23,味方耐性,補助シート!AA$12,0)),0)),0),0)),IF(OR(補助シート!$I57="念",補助シート!$I57="叩"),補助シート!AA57,IF(OR(補助シート!$J57="燃",補助シート!$J57="凍"),補助シート!AA69,ROUNDDOWN(補助シート!AA23*VLOOKUP($F43,敵技,7+$K$31,0),0)))))</f>
        <v>264</v>
      </c>
      <c r="AE43" s="199"/>
      <c r="AF43" s="198">
        <f ca="1">IF(OR($B43="",AD$35="",$F43=""),"",IF($K$33="あり",IF(補助シート!$AR23="全体",$K$31,IF(補助シート!$AR23="３回",3,1)),1)*IF(AND(NOT(補助シート!$AQ23="回転"),NOT(補助シート!$I57="念"),NOT(補助シート!$I57="叩"),NOT(補助シート!$J57="燃"),NOT(補助シート!$J57="凍")),MAX(IF(補助シート!$I25="なし",1,0),ROUNDDOWN(IF(補助シート!AC$9="あり",0.5,1)*ROUNDDOWN(IF(補助シート!$I23="なし",1,補助シート!AC46)*(ROUNDDOWN(IF(AND(補助シート!AC$9="大防御",NOT(補助シート!$J46="高")),0.1,1)*ROUNDDOWN(IF(AND(補助シート!AA$7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AC$6=1,補助シート!$AQ23="隊列"))),2,1)*ROUNDDOWN(HLOOKUP(補助シート!AC$6,敵隊列,MATCH($F43,敵技リスト,0)+1)*(IF(補助シート!$J23="物理",補助シート!AC23,IF(補助シート!$J23="魔",補助シート!AC91,VLOOKUP($F43,敵技,3,0)))),0)),0)),0)-IF(OR(補助シート!$J23="魔",補助シート!$I23="なし",補助シート!$I23="念",補助シート!$I23="叩"),0,HLOOKUP(補助シート!$I23,味方耐性,補助シート!AC$12,0)),0)),0),0)),IF(OR(補助シート!$I57="念",補助シート!$I57="叩"),補助シート!AC57,IF(OR(補助シート!$J57="燃",補助シート!$J57="凍"),補助シート!AC69,ROUNDDOWN(補助シート!AC23*VLOOKUP($F43,敵技,7+$K$31,0),0)))))</f>
        <v>300</v>
      </c>
      <c r="AG43" s="199"/>
      <c r="AH43" s="198">
        <f ca="1">IF(OR($B43="",AH$35="",$F43=""),"",IF($K$33="あり",IF(補助シート!$AR23="全体",$K$31,IF(補助シート!$AR23="３回",3,1)),1)*IF(AND(NOT(補助シート!$AQ23="回転"),NOT(補助シート!$I57="念"),NOT(補助シート!$I57="叩"),NOT(補助シート!$J57="燃"),NOT(補助シート!$J57="凍")),MAX(0,ROUNDDOWN(IF(補助シート!AE$9="あり",0.5,1)*ROUNDDOWN(IF(補助シート!$I23="なし",1,補助シート!AE46)*(ROUNDDOWN(IF(AND(補助シート!AE$9="大防御",NOT(補助シート!$J46="高")),0.1,1)*ROUNDDOWN(IF(AND(補助シート!AE$7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AE$6=1,補助シート!$AQ23="隊列"))),2,1)*ROUNDDOWN(HLOOKUP(補助シート!AE$6,敵隊列,MATCH($F43,敵技リスト,0)+1)*(IF(補助シート!$J23="物理",補助シート!AE23,IF(補助シート!$J23="魔",補助シート!AE91,VLOOKUP($F43,敵技,2,0)))),0)),0)),0)-IF(OR(補助シート!$J23="魔",補助シート!$I23="なし",補助シート!$I23="念",補助シート!$I23="叩"),0,HLOOKUP(補助シート!$I23,味方耐性,補助シート!AE$12,0)),0)),0),0)),IF(OR(補助シート!$I57="念",補助シート!$I57="叩"),補助シート!AE57,IF(OR(補助シート!$J57="燃",補助シート!$J57="凍"),補助シート!AE69,ROUNDDOWN(補助シート!AE23*VLOOKUP($F43,敵技,7+$K$31,0),0)))))</f>
        <v>246</v>
      </c>
      <c r="AI43" s="199"/>
      <c r="AJ43" s="198">
        <f ca="1">IF(OR($B43="",AH$35="",$F43=""),"",IF($K$33="あり",IF(補助シート!$AR23="全体",$K$31,IF(補助シート!$AR23="３回",3,1)),1)*IF(AND(NOT(補助シート!$AQ23="回転"),NOT(補助シート!$I57="念"),NOT(補助シート!$I57="叩"),NOT(補助シート!$J57="燃"),NOT(補助シート!$J57="凍")),MAX(IF(補助シート!$I25="なし",1,0),ROUNDDOWN(IF(補助シート!AG$9="あり",0.5,1)*ROUNDDOWN(IF(補助シート!$I23="なし",1,補助シート!AG46)*(ROUNDDOWN(IF(AND(補助シート!AG$9="大防御",NOT(補助シート!$J46="高")),0.1,1)*ROUNDDOWN(IF(AND(補助シート!AE$7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AG$6=1,補助シート!$AQ23="隊列"))),2,1)*ROUNDDOWN(HLOOKUP(補助シート!AG$6,敵隊列,MATCH($F43,敵技リスト,0)+1)*(IF(補助シート!$J23="物理",補助シート!AG23,IF(補助シート!$J23="魔",補助シート!AG91,VLOOKUP($F43,敵技,3,0)))),0)),0)),0)-IF(OR(補助シート!$J23="魔",補助シート!$I23="なし",補助シート!$I23="念",補助シート!$I23="叩"),0,HLOOKUP(補助シート!$I23,味方耐性,補助シート!AG$12,0)),0)),0),0)),IF(OR(補助シート!$I57="念",補助シート!$I57="叩"),補助シート!AG57,IF(OR(補助シート!$J57="燃",補助シート!$J57="凍"),補助シート!AG69,ROUNDDOWN(補助シート!AG23*VLOOKUP($F43,敵技,7+$K$31,0),0)))))</f>
        <v>282</v>
      </c>
      <c r="AK43" s="199"/>
      <c r="AL43" s="198">
        <f ca="1">IF(OR($B43="",AL$35="",$F43=""),"",IF($K$33="あり",IF(補助シート!$AR23="全体",$K$31,IF(補助シート!$AR23="３回",3,1)),1)*IF(AND(NOT(補助シート!$AQ23="回転"),NOT(補助シート!$I57="念"),NOT(補助シート!$I57="叩"),NOT(補助シート!$J57="燃"),NOT(補助シート!$J57="凍")),MAX(0,ROUNDDOWN(IF(補助シート!AI$9="あり",0.5,1)*ROUNDDOWN(IF(補助シート!$I23="なし",1,補助シート!AI46)*(ROUNDDOWN(IF(AND(補助シート!AI$9="大防御",NOT(補助シート!$J46="高")),0.1,1)*ROUNDDOWN(IF(AND(補助シート!AI$7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AI$6=1,補助シート!$AQ23="隊列"))),2,1)*ROUNDDOWN(HLOOKUP(補助シート!AI$6,敵隊列,MATCH($F43,敵技リスト,0)+1)*(IF(補助シート!$J23="物理",補助シート!AI23,IF(補助シート!$J23="魔",補助シート!AI91,VLOOKUP($F43,敵技,2,0)))),0)),0)),0)-IF(OR(補助シート!$J23="魔",補助シート!$I23="なし",補助シート!$I23="念",補助シート!$I23="叩"),0,HLOOKUP(補助シート!$I23,味方耐性,補助シート!AI$12,0)),0)),0),0)),IF(OR(補助シート!$I57="念",補助シート!$I57="叩"),補助シート!AI57,IF(OR(補助シート!$J57="燃",補助シート!$J57="凍"),補助シート!AI69,ROUNDDOWN(補助シート!AI23*VLOOKUP($F43,敵技,7+$K$31,0),0)))))</f>
        <v>206</v>
      </c>
      <c r="AM43" s="199"/>
      <c r="AN43" s="198">
        <f ca="1">IF(OR($B43="",AL$35="",$F43=""),"",IF($K$33="あり",IF(補助シート!$AR23="全体",$K$31,IF(補助シート!$AR23="３回",3,1)),1)*IF(AND(NOT(補助シート!$AQ23="回転"),NOT(補助シート!$I57="念"),NOT(補助シート!$I57="叩"),NOT(補助シート!$J57="燃"),NOT(補助シート!$J57="凍")),MAX(IF(補助シート!$I25="なし",1,0),ROUNDDOWN(IF(補助シート!AK$9="あり",0.5,1)*ROUNDDOWN(IF(補助シート!$I23="なし",1,補助シート!AK46)*(ROUNDDOWN(IF(AND(補助シート!AK$9="大防御",NOT(補助シート!$J46="高")),0.1,1)*ROUNDDOWN(IF(AND(補助シート!AI$7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AK$6=1,補助シート!$AQ23="隊列"))),2,1)*ROUNDDOWN(HLOOKUP(補助シート!AK$6,敵隊列,MATCH($F43,敵技リスト,0)+1)*(IF(補助シート!$J23="物理",補助シート!AK23,IF(補助シート!$J23="魔",補助シート!AK91,VLOOKUP($F43,敵技,3,0)))),0)),0)),0)-IF(OR(補助シート!$J23="魔",補助シート!$I23="なし",補助シート!$I23="念",補助シート!$I23="叩"),0,HLOOKUP(補助シート!$I23,味方耐性,補助シート!AK$12,0)),0)),0),0)),IF(OR(補助シート!$I57="念",補助シート!$I57="叩"),補助シート!AK57,IF(OR(補助シート!$J57="燃",補助シート!$J57="凍"),補助シート!AK69,ROUNDDOWN(補助シート!AK23*VLOOKUP($F43,敵技,7+$K$31,0),0)))))</f>
        <v>234</v>
      </c>
      <c r="AO43" s="199"/>
      <c r="AP43" s="198">
        <f ca="1">IF(OR($B43="",AP$35="",$F43=""),"",IF($K$33="あり",IF(補助シート!$AR23="全体",$K$31,IF(補助シート!$AR23="３回",3,1)),1)*IF(AND(NOT(補助シート!$AQ23="回転"),NOT(補助シート!$I57="念"),NOT(補助シート!$I57="叩"),NOT(補助シート!$J57="燃"),NOT(補助シート!$J57="凍")),MAX(0,ROUNDDOWN(IF(補助シート!AM$9="あり",0.5,1)*ROUNDDOWN(IF(補助シート!$I23="なし",1,補助シート!AM46)*(ROUNDDOWN(IF(AND(補助シート!AM$9="大防御",NOT(補助シート!$J46="高")),0.1,1)*ROUNDDOWN(IF(AND(補助シート!AM$7="あり",OR(補助シート!$I23="炎",補助シート!$I23="雪")),0.5,1)*(ROUNDDOWN(IF(AND(OR(補助シート!$J23="物理",補助シート!$J23="魔"),$L43="あり",NOT(補助シート!$AQ23="倍無")),補助シート!$F$45,1)*(IF(AND(OR(補助シート!$J23="物理",補助シート!$J23="魔"),$J43="あり",NOT(補助シート!$AQ23="倍無"),OR(NOT(補助シート!$AQ23="隊列"),AND(補助シート!AM$6=1,補助シート!$AQ23="隊列"))),2,1)*ROUNDDOWN(HLOOKUP(補助シート!AM$6,敵隊列,MATCH($F43,敵技リスト,0)+1)*(IF(補助シート!$J23="物理",補助シート!AM23,IF(補助シート!$J23="魔",補助シート!AM91,VLOOKUP($F43,敵技,2,0)))),0)),0)),0)-IF(OR(補助シート!$J23="魔",補助シート!$I23="なし",補助シート!$I23="念",補助シート!$I23="叩"),0,HLOOKUP(補助シート!$I23,味方耐性,補助シート!AM$12,0)),0)),0),0)),IF(OR(補助シート!$I57="念",補助シート!$I57="叩"),補助シート!AM57,IF(OR(補助シート!$J57="燃",補助シート!$J57="凍"),補助シート!AM69,ROUNDDOWN(補助シート!AM23*VLOOKUP($F43,敵技,7+$K$31,0),0)))))</f>
        <v>148</v>
      </c>
      <c r="AQ43" s="199"/>
      <c r="AR43" s="198">
        <f ca="1">IF(OR($B43="",AP$35="",$F43=""),"",IF($K$33="あり",IF(補助シート!$AR23="全体",$K$31,IF(補助シート!$AR23="３回",3,1)),1)*IF(AND(NOT(補助シート!$AQ23="回転"),NOT(補助シート!$I57="念"),NOT(補助シート!$I57="叩"),NOT(補助シート!$J57="燃"),NOT(補助シート!$J57="凍")),MAX(IF(補助シート!$I25="なし",1,0),ROUNDDOWN(IF(補助シート!AO$9="あり",0.5,1)*ROUNDDOWN(IF(補助シート!$I23="なし",1,補助シート!AO46)*(ROUNDDOWN(IF(AND(補助シート!AO$9="大防御",NOT(補助シート!$J46="高")),0.1,1)*ROUNDDOWN(IF(AND(補助シート!AM$7="あり",OR(補助シート!$I23="炎",補助シート!$I23="雪")),0.5,1)*(ROUNDDOWN(IF(AND(OR(補助シート!$J23="物理",補助シート!$J23="魔"),$L43="あり",NOT(補助シート!$AQ23="倍無")),補助シート!$F$46,1)*(IF(AND(OR(補助シート!$J23="物理",補助シート!$J23="魔"),$J43="あり",NOT(補助シート!$AQ23="倍無"),OR(NOT(補助シート!$AQ23="隊列"),AND(補助シート!AO$6=1,補助シート!$AQ23="隊列"))),2,1)*ROUNDDOWN(HLOOKUP(補助シート!AO$6,敵隊列,MATCH($F43,敵技リスト,0)+1)*(IF(補助シート!$J23="物理",補助シート!AO23,IF(補助シート!$J23="魔",補助シート!AO91,VLOOKUP($F43,敵技,3,0)))),0)),0)),0)-IF(OR(補助シート!$J23="魔",補助シート!$I23="なし",補助シート!$I23="念",補助シート!$I23="叩"),0,HLOOKUP(補助シート!$I23,味方耐性,補助シート!AO$12,0)),0)),0),0)),IF(OR(補助シート!$I57="念",補助シート!$I57="叩"),補助シート!AO57,IF(OR(補助シート!$J57="燃",補助シート!$J57="凍"),補助シート!AO69,ROUNDDOWN(補助シート!AO23*VLOOKUP($F43,敵技,7+$K$31,0),0)))))</f>
        <v>168</v>
      </c>
      <c r="AS43" s="199"/>
      <c r="AT43" s="64"/>
      <c r="AU43" s="72"/>
    </row>
    <row r="44" spans="1:47" ht="3.75" customHeight="1" x14ac:dyDescent="0.15">
      <c r="A44" s="70"/>
      <c r="B44" s="92"/>
      <c r="C44" s="64"/>
      <c r="D44" s="64"/>
      <c r="E44" s="64"/>
      <c r="F44" s="64"/>
      <c r="G44" s="64"/>
      <c r="H44" s="64"/>
      <c r="I44" s="64"/>
      <c r="J44" s="64"/>
      <c r="K44" s="64"/>
      <c r="L44" s="64"/>
      <c r="M44" s="64"/>
      <c r="N44" s="64"/>
      <c r="O44" s="64"/>
      <c r="P44" s="64"/>
      <c r="Q44" s="64"/>
      <c r="R44" s="64"/>
      <c r="S44" s="64"/>
      <c r="T44" s="64"/>
      <c r="U44" s="64"/>
      <c r="V44" s="75"/>
      <c r="W44" s="75"/>
      <c r="X44" s="75"/>
      <c r="Y44" s="75"/>
      <c r="Z44" s="75"/>
      <c r="AA44" s="75"/>
      <c r="AB44" s="75"/>
      <c r="AC44" s="75"/>
      <c r="AD44" s="75"/>
      <c r="AE44" s="75"/>
      <c r="AF44" s="75"/>
      <c r="AG44" s="75"/>
      <c r="AH44" s="64"/>
      <c r="AI44" s="64"/>
      <c r="AJ44" s="64"/>
      <c r="AK44" s="64"/>
      <c r="AL44" s="64"/>
      <c r="AM44" s="64"/>
      <c r="AN44" s="64"/>
      <c r="AO44" s="64"/>
      <c r="AP44" s="64"/>
      <c r="AQ44" s="64"/>
      <c r="AR44" s="64"/>
      <c r="AS44" s="64"/>
      <c r="AT44" s="64"/>
      <c r="AU44" s="72"/>
    </row>
    <row r="45" spans="1:47" x14ac:dyDescent="0.15">
      <c r="A45" s="70"/>
      <c r="B45" s="179" t="s">
        <v>479</v>
      </c>
      <c r="C45" s="179"/>
      <c r="D45" s="179"/>
      <c r="E45" s="179"/>
      <c r="F45" s="203" t="str">
        <f ca="1">AA4</f>
        <v>主人公</v>
      </c>
      <c r="G45" s="203"/>
      <c r="H45" s="203" t="str">
        <f ca="1">AA5</f>
        <v>ハッサン</v>
      </c>
      <c r="I45" s="203"/>
      <c r="J45" s="203" t="str">
        <f ca="1">AA6</f>
        <v>ミレーユ</v>
      </c>
      <c r="K45" s="203"/>
      <c r="L45" s="203" t="str">
        <f ca="1">AA7</f>
        <v>バーバラ</v>
      </c>
      <c r="M45" s="203"/>
      <c r="N45" s="203" t="str">
        <f ca="1">AA8</f>
        <v>チャモロ</v>
      </c>
      <c r="O45" s="203"/>
      <c r="P45" s="203" t="str">
        <f ca="1">AA9</f>
        <v>アモス</v>
      </c>
      <c r="Q45" s="203"/>
      <c r="R45" s="203" t="str">
        <f ca="1">AA10</f>
        <v>テリー</v>
      </c>
      <c r="S45" s="203"/>
      <c r="T45" s="203" t="str">
        <f ca="1">AA11</f>
        <v>ドランゴ</v>
      </c>
      <c r="U45" s="203"/>
      <c r="V45" s="195" t="str">
        <f ca="1">B4</f>
        <v>デスタムーア3</v>
      </c>
      <c r="W45" s="195"/>
      <c r="X45" s="195"/>
      <c r="Y45" s="195" t="str">
        <f ca="1">B5</f>
        <v>デスタムーア3</v>
      </c>
      <c r="Z45" s="195"/>
      <c r="AA45" s="195"/>
      <c r="AB45" s="195" t="str">
        <f ca="1">B6</f>
        <v>デスタムーア3</v>
      </c>
      <c r="AC45" s="195"/>
      <c r="AD45" s="195"/>
      <c r="AE45" s="195" t="str">
        <f ca="1">B7</f>
        <v>デスタムーア3</v>
      </c>
      <c r="AF45" s="195"/>
      <c r="AG45" s="195"/>
      <c r="AH45" s="195" t="str">
        <f ca="1">B8</f>
        <v>デスタムーア3</v>
      </c>
      <c r="AI45" s="195"/>
      <c r="AJ45" s="195"/>
      <c r="AK45" s="195" t="str">
        <f ca="1">B9</f>
        <v>ひだりて</v>
      </c>
      <c r="AL45" s="195"/>
      <c r="AM45" s="195"/>
      <c r="AN45" s="195" t="str">
        <f ca="1">B10</f>
        <v>みぎて</v>
      </c>
      <c r="AO45" s="195"/>
      <c r="AP45" s="195"/>
      <c r="AQ45" s="195" t="str">
        <f ca="1">B11</f>
        <v>みぎて</v>
      </c>
      <c r="AR45" s="195"/>
      <c r="AS45" s="195"/>
      <c r="AT45" s="64"/>
      <c r="AU45" s="72"/>
    </row>
    <row r="46" spans="1:47" x14ac:dyDescent="0.15">
      <c r="A46" s="70"/>
      <c r="B46" s="196" t="str">
        <f ca="1">AA4</f>
        <v>主人公</v>
      </c>
      <c r="C46" s="197"/>
      <c r="D46" s="197"/>
      <c r="E46" s="197"/>
      <c r="F46" s="194" t="str">
        <f t="shared" ref="F46:F53" ca="1" si="2">IF(OR($B46="",F$45=""),"",IF($B46=F$45,"-",IF((VLOOKUP(F$45,味方ステータス,8,0)+20)=(VLOOKUP($B46,味方ステータス,8,0)+20),0.5,IF((VLOOKUP($B46,味方ステータス,8,0)+20)&gt;2*(VLOOKUP(F$45,味方ステータス,8,0)+20),1,IF(VLOOKUP($B46,味方ステータス,8,0)&gt;VLOOKUP(F$45,味方ステータス,8,0),1-((2*(VLOOKUP(F$45,味方ステータス,8,0)+20)-(VLOOKUP($B46,味方ステータス,8,0)+20))^2)/(2*(VLOOKUP($B46,味方ステータス,8,0)+20)*(VLOOKUP(F$45,味方ステータス,8,0)+20)),IF(2*(VLOOKUP($B46,味方ステータス,8,0)+20)&lt;(VLOOKUP(F$45,味方ステータス,8,0)+20),0,((2*(VLOOKUP($B46,味方ステータス,8,0)+20)-(VLOOKUP(F$45,味方ステータス,8,0)+20))^2)/(2*(VLOOKUP($B46,味方ステータス,8,0)+20)*(VLOOKUP(F$45,味方ステータス,8,0)+20))))))))</f>
        <v>-</v>
      </c>
      <c r="G46" s="193"/>
      <c r="H46" s="194">
        <f t="shared" ref="H46:H53" ca="1" si="3">IF(OR($B46="",H$45=""),"",IF($B46=H$45,"-",IF((VLOOKUP(H$45,味方ステータス,8,0)+20)=(VLOOKUP($B46,味方ステータス,8,0)+20),0.5,IF((VLOOKUP($B46,味方ステータス,8,0)+20)&gt;2*(VLOOKUP(H$45,味方ステータス,8,0)+20),1,IF(VLOOKUP($B46,味方ステータス,8,0)&gt;VLOOKUP(H$45,味方ステータス,8,0),1-((2*(VLOOKUP(H$45,味方ステータス,8,0)+20)-(VLOOKUP($B46,味方ステータス,8,0)+20))^2)/(2*(VLOOKUP($B46,味方ステータス,8,0)+20)*(VLOOKUP(H$45,味方ステータス,8,0)+20)),IF(2*(VLOOKUP($B46,味方ステータス,8,0)+20)&lt;(VLOOKUP(H$45,味方ステータス,8,0)+20),0,((2*(VLOOKUP($B46,味方ステータス,8,0)+20)-(VLOOKUP(H$45,味方ステータス,8,0)+20))^2)/(2*(VLOOKUP($B46,味方ステータス,8,0)+20)*(VLOOKUP(H$45,味方ステータス,8,0)+20))))))))</f>
        <v>1</v>
      </c>
      <c r="I46" s="193"/>
      <c r="J46" s="194">
        <f t="shared" ref="J46:J53" ca="1" si="4">IF(OR($B46="",J$45=""),"",IF($B46=J$45,"-",IF((VLOOKUP(J$45,味方ステータス,8,0)+20)=(VLOOKUP($B46,味方ステータス,8,0)+20),0.5,IF((VLOOKUP($B46,味方ステータス,8,0)+20)&gt;2*(VLOOKUP(J$45,味方ステータス,8,0)+20),1,IF(VLOOKUP($B46,味方ステータス,8,0)&gt;VLOOKUP(J$45,味方ステータス,8,0),1-((2*(VLOOKUP(J$45,味方ステータス,8,0)+20)-(VLOOKUP($B46,味方ステータス,8,0)+20))^2)/(2*(VLOOKUP($B46,味方ステータス,8,0)+20)*(VLOOKUP(J$45,味方ステータス,8,0)+20)),IF(2*(VLOOKUP($B46,味方ステータス,8,0)+20)&lt;(VLOOKUP(J$45,味方ステータス,8,0)+20),0,((2*(VLOOKUP($B46,味方ステータス,8,0)+20)-(VLOOKUP(J$45,味方ステータス,8,0)+20))^2)/(2*(VLOOKUP($B46,味方ステータス,8,0)+20)*(VLOOKUP(J$45,味方ステータス,8,0)+20))))))))</f>
        <v>0.85514598540145981</v>
      </c>
      <c r="K46" s="193"/>
      <c r="L46" s="194">
        <f t="shared" ref="L46:L53" ca="1" si="5">IF(OR($B46="",L$45=""),"",IF($B46=L$45,"-",IF((VLOOKUP(L$45,味方ステータス,8,0)+20)=(VLOOKUP($B46,味方ステータス,8,0)+20),0.5,IF((VLOOKUP($B46,味方ステータス,8,0)+20)&gt;2*(VLOOKUP(L$45,味方ステータス,8,0)+20),1,IF(VLOOKUP($B46,味方ステータス,8,0)&gt;VLOOKUP(L$45,味方ステータス,8,0),1-((2*(VLOOKUP(L$45,味方ステータス,8,0)+20)-(VLOOKUP($B46,味方ステータス,8,0)+20))^2)/(2*(VLOOKUP($B46,味方ステータス,8,0)+20)*(VLOOKUP(L$45,味方ステータス,8,0)+20)),IF(2*(VLOOKUP($B46,味方ステータス,8,0)+20)&lt;(VLOOKUP(L$45,味方ステータス,8,0)+20),0,((2*(VLOOKUP($B46,味方ステータス,8,0)+20)-(VLOOKUP(L$45,味方ステータス,8,0)+20))^2)/(2*(VLOOKUP($B46,味方ステータス,8,0)+20)*(VLOOKUP(L$45,味方ステータス,8,0)+20))))))))</f>
        <v>1</v>
      </c>
      <c r="M46" s="193"/>
      <c r="N46" s="194">
        <f t="shared" ref="N46:N53" ca="1" si="6">IF(OR($B46="",N$45=""),"",IF($B46=N$45,"-",IF((VLOOKUP(N$45,味方ステータス,8,0)+20)=(VLOOKUP($B46,味方ステータス,8,0)+20),0.5,IF((VLOOKUP($B46,味方ステータス,8,0)+20)&gt;2*(VLOOKUP(N$45,味方ステータス,8,0)+20),1,IF(VLOOKUP($B46,味方ステータス,8,0)&gt;VLOOKUP(N$45,味方ステータス,8,0),1-((2*(VLOOKUP(N$45,味方ステータス,8,0)+20)-(VLOOKUP($B46,味方ステータス,8,0)+20))^2)/(2*(VLOOKUP($B46,味方ステータス,8,0)+20)*(VLOOKUP(N$45,味方ステータス,8,0)+20)),IF(2*(VLOOKUP($B46,味方ステータス,8,0)+20)&lt;(VLOOKUP(N$45,味方ステータス,8,0)+20),0,((2*(VLOOKUP($B46,味方ステータス,8,0)+20)-(VLOOKUP(N$45,味方ステータス,8,0)+20))^2)/(2*(VLOOKUP($B46,味方ステータス,8,0)+20)*(VLOOKUP(N$45,味方ステータス,8,0)+20))))))))</f>
        <v>0.94801391953827874</v>
      </c>
      <c r="O46" s="193"/>
      <c r="P46" s="194">
        <f t="shared" ref="P46:P53" ca="1" si="7">IF(OR($B46="",P$45=""),"",IF($B46=P$45,"-",IF((VLOOKUP(P$45,味方ステータス,8,0)+20)=(VLOOKUP($B46,味方ステータス,8,0)+20),0.5,IF((VLOOKUP($B46,味方ステータス,8,0)+20)&gt;2*(VLOOKUP(P$45,味方ステータス,8,0)+20),1,IF(VLOOKUP($B46,味方ステータス,8,0)&gt;VLOOKUP(P$45,味方ステータス,8,0),1-((2*(VLOOKUP(P$45,味方ステータス,8,0)+20)-(VLOOKUP($B46,味方ステータス,8,0)+20))^2)/(2*(VLOOKUP($B46,味方ステータス,8,0)+20)*(VLOOKUP(P$45,味方ステータス,8,0)+20)),IF(2*(VLOOKUP($B46,味方ステータス,8,0)+20)&lt;(VLOOKUP(P$45,味方ステータス,8,0)+20),0,((2*(VLOOKUP($B46,味方ステータス,8,0)+20)-(VLOOKUP(P$45,味方ステータス,8,0)+20))^2)/(2*(VLOOKUP($B46,味方ステータス,8,0)+20)*(VLOOKUP(P$45,味方ステータス,8,0)+20))))))))</f>
        <v>1</v>
      </c>
      <c r="Q46" s="193"/>
      <c r="R46" s="194">
        <f t="shared" ref="R46:R53" ca="1" si="8">IF(OR($B46="",R$45=""),"",IF($B46=R$45,"-",IF((VLOOKUP(R$45,味方ステータス,8,0)+20)=(VLOOKUP($B46,味方ステータス,8,0)+20),0.5,IF((VLOOKUP($B46,味方ステータス,8,0)+20)&gt;2*(VLOOKUP(R$45,味方ステータス,8,0)+20),1,IF(VLOOKUP($B46,味方ステータス,8,0)&gt;VLOOKUP(R$45,味方ステータス,8,0),1-((2*(VLOOKUP(R$45,味方ステータス,8,0)+20)-(VLOOKUP($B46,味方ステータス,8,0)+20))^2)/(2*(VLOOKUP($B46,味方ステータス,8,0)+20)*(VLOOKUP(R$45,味方ステータス,8,0)+20)),IF(2*(VLOOKUP($B46,味方ステータス,8,0)+20)&lt;(VLOOKUP(R$45,味方ステータス,8,0)+20),0,((2*(VLOOKUP($B46,味方ステータス,8,0)+20)-(VLOOKUP(R$45,味方ステータス,8,0)+20))^2)/(2*(VLOOKUP($B46,味方ステータス,8,0)+20)*(VLOOKUP(R$45,味方ステータス,8,0)+20))))))))</f>
        <v>2.0059062796010476E-3</v>
      </c>
      <c r="S46" s="193"/>
      <c r="T46" s="194">
        <f t="shared" ref="T46:T53" ca="1" si="9">IF(OR($B46="",T$45=""),"",IF($B46=T$45,"-",IF((VLOOKUP(T$45,味方ステータス,8,0)+20)=(VLOOKUP($B46,味方ステータス,8,0)+20),0.5,IF((VLOOKUP($B46,味方ステータス,8,0)+20)&gt;2*(VLOOKUP(T$45,味方ステータス,8,0)+20),1,IF(VLOOKUP($B46,味方ステータス,8,0)&gt;VLOOKUP(T$45,味方ステータス,8,0),1-((2*(VLOOKUP(T$45,味方ステータス,8,0)+20)-(VLOOKUP($B46,味方ステータス,8,0)+20))^2)/(2*(VLOOKUP($B46,味方ステータス,8,0)+20)*(VLOOKUP(T$45,味方ステータス,8,0)+20)),IF(2*(VLOOKUP($B46,味方ステータス,8,0)+20)&lt;(VLOOKUP(T$45,味方ステータス,8,0)+20),0,((2*(VLOOKUP($B46,味方ステータス,8,0)+20)-(VLOOKUP(T$45,味方ステータス,8,0)+20))^2)/(2*(VLOOKUP($B46,味方ステータス,8,0)+20)*(VLOOKUP(T$45,味方ステータス,8,0)+20))))))))</f>
        <v>0.96755385437066055</v>
      </c>
      <c r="U46" s="193"/>
      <c r="V46" s="191">
        <f t="shared" ref="V46:V53" ca="1" si="10">IF(OR($B46="",V$45=""),"",IF($B46=V$45,"-",IF((VLOOKUP(V$45,敵ステータス,10,0)+20)=(VLOOKUP($B46,味方ステータス,8,0)+20),0.5,IF((VLOOKUP($B46,味方ステータス,8,0)+20)&gt;2*(VLOOKUP(V$45,敵ステータス,10,0)+20),1,IF(VLOOKUP($B46,味方ステータス,8,0)&gt;VLOOKUP(V$45,敵ステータス,10,0),1-((2*(VLOOKUP(V$45,敵ステータス,10,0)+20)-(VLOOKUP($B46,味方ステータス,8,0)+20))^2)/(2*(VLOOKUP($B46,味方ステータス,8,0)+20)*(VLOOKUP(V$45,敵ステータス,10,0)+20)),IF(2*(VLOOKUP($B46,味方ステータス,8,0)+20)&lt;(VLOOKUP(V$45,敵ステータス,10,0)+20),0,((2*(VLOOKUP($B46,味方ステータス,8,0)+20)-(VLOOKUP(V$45,敵ステータス,10,0)+20))^2)/(2*(VLOOKUP($B46,味方ステータス,8,0)+20)*(VLOOKUP(V$45,敵ステータス,10,0)+20))))))))</f>
        <v>0.46809176225234617</v>
      </c>
      <c r="W46" s="192"/>
      <c r="X46" s="193"/>
      <c r="Y46" s="191">
        <f t="shared" ref="Y46:Y53" ca="1" si="11">IF(OR($B46="",Y$45=""),"",IF($B46=Y$45,"-",IF((VLOOKUP(Y$45,敵ステータス,10,0)+20)=(VLOOKUP($B46,味方ステータス,8,0)+20),0.5,IF((VLOOKUP($B46,味方ステータス,8,0)+20)&gt;2*(VLOOKUP(Y$45,敵ステータス,10,0)+20),1,IF(VLOOKUP($B46,味方ステータス,8,0)&gt;VLOOKUP(Y$45,敵ステータス,10,0),1-((2*(VLOOKUP(Y$45,敵ステータス,10,0)+20)-(VLOOKUP($B46,味方ステータス,8,0)+20))^2)/(2*(VLOOKUP($B46,味方ステータス,8,0)+20)*(VLOOKUP(Y$45,敵ステータス,10,0)+20)),IF(2*(VLOOKUP($B46,味方ステータス,8,0)+20)&lt;(VLOOKUP(Y$45,敵ステータス,10,0)+20),0,((2*(VLOOKUP($B46,味方ステータス,8,0)+20)-(VLOOKUP(Y$45,敵ステータス,10,0)+20))^2)/(2*(VLOOKUP($B46,味方ステータス,8,0)+20)*(VLOOKUP(Y$45,敵ステータス,10,0)+20))))))))</f>
        <v>0.46809176225234617</v>
      </c>
      <c r="Z46" s="192"/>
      <c r="AA46" s="193"/>
      <c r="AB46" s="191">
        <f t="shared" ref="AB46:AB53" ca="1" si="12">IF(OR($B46="",AB$45=""),"",IF($B46=AB$45,"-",IF((VLOOKUP(AB$45,敵ステータス,10,0)+20)=(VLOOKUP($B46,味方ステータス,8,0)+20),0.5,IF((VLOOKUP($B46,味方ステータス,8,0)+20)&gt;2*(VLOOKUP(AB$45,敵ステータス,10,0)+20),1,IF(VLOOKUP($B46,味方ステータス,8,0)&gt;VLOOKUP(AB$45,敵ステータス,10,0),1-((2*(VLOOKUP(AB$45,敵ステータス,10,0)+20)-(VLOOKUP($B46,味方ステータス,8,0)+20))^2)/(2*(VLOOKUP($B46,味方ステータス,8,0)+20)*(VLOOKUP(AB$45,敵ステータス,10,0)+20)),IF(2*(VLOOKUP($B46,味方ステータス,8,0)+20)&lt;(VLOOKUP(AB$45,敵ステータス,10,0)+20),0,((2*(VLOOKUP($B46,味方ステータス,8,0)+20)-(VLOOKUP(AB$45,敵ステータス,10,0)+20))^2)/(2*(VLOOKUP($B46,味方ステータス,8,0)+20)*(VLOOKUP(AB$45,敵ステータス,10,0)+20))))))))</f>
        <v>0.46809176225234617</v>
      </c>
      <c r="AC46" s="192"/>
      <c r="AD46" s="193"/>
      <c r="AE46" s="191">
        <f t="shared" ref="AE46:AE53" ca="1" si="13">IF(OR($B46="",AE$45=""),"",IF($B46=AE$45,"-",IF((VLOOKUP(AE$45,敵ステータス,10,0)+20)=(VLOOKUP($B46,味方ステータス,8,0)+20),0.5,IF((VLOOKUP($B46,味方ステータス,8,0)+20)&gt;2*(VLOOKUP(AE$45,敵ステータス,10,0)+20),1,IF(VLOOKUP($B46,味方ステータス,8,0)&gt;VLOOKUP(AE$45,敵ステータス,10,0),1-((2*(VLOOKUP(AE$45,敵ステータス,10,0)+20)-(VLOOKUP($B46,味方ステータス,8,0)+20))^2)/(2*(VLOOKUP($B46,味方ステータス,8,0)+20)*(VLOOKUP(AE$45,敵ステータス,10,0)+20)),IF(2*(VLOOKUP($B46,味方ステータス,8,0)+20)&lt;(VLOOKUP(AE$45,敵ステータス,10,0)+20),0,((2*(VLOOKUP($B46,味方ステータス,8,0)+20)-(VLOOKUP(AE$45,敵ステータス,10,0)+20))^2)/(2*(VLOOKUP($B46,味方ステータス,8,0)+20)*(VLOOKUP(AE$45,敵ステータス,10,0)+20))))))))</f>
        <v>0.46809176225234617</v>
      </c>
      <c r="AF46" s="192"/>
      <c r="AG46" s="193"/>
      <c r="AH46" s="191">
        <f t="shared" ref="AH46:AH53" ca="1" si="14">IF(OR($B46="",AH$45=""),"",IF($B46=AH$45,"-",IF((VLOOKUP(AH$45,敵ステータス,10,0)+20)=(VLOOKUP($B46,味方ステータス,8,0)+20),0.5,IF((VLOOKUP($B46,味方ステータス,8,0)+20)&gt;2*(VLOOKUP(AH$45,敵ステータス,10,0)+20),1,IF(VLOOKUP($B46,味方ステータス,8,0)&gt;VLOOKUP(AH$45,敵ステータス,10,0),1-((2*(VLOOKUP(AH$45,敵ステータス,10,0)+20)-(VLOOKUP($B46,味方ステータス,8,0)+20))^2)/(2*(VLOOKUP($B46,味方ステータス,8,0)+20)*(VLOOKUP(AH$45,敵ステータス,10,0)+20)),IF(2*(VLOOKUP($B46,味方ステータス,8,0)+20)&lt;(VLOOKUP(AH$45,敵ステータス,10,0)+20),0,((2*(VLOOKUP($B46,味方ステータス,8,0)+20)-(VLOOKUP(AH$45,敵ステータス,10,0)+20))^2)/(2*(VLOOKUP($B46,味方ステータス,8,0)+20)*(VLOOKUP(AH$45,敵ステータス,10,0)+20))))))))</f>
        <v>0.46809176225234617</v>
      </c>
      <c r="AI46" s="192"/>
      <c r="AJ46" s="193"/>
      <c r="AK46" s="191">
        <f t="shared" ref="AK46:AK53" ca="1" si="15">IF(OR($B46="",AK$45=""),"",IF($B46=AK$45,"-",IF((VLOOKUP(AK$45,敵ステータス,10,0)+20)=(VLOOKUP($B46,味方ステータス,8,0)+20),0.5,IF((VLOOKUP($B46,味方ステータス,8,0)+20)&gt;2*(VLOOKUP(AK$45,敵ステータス,10,0)+20),1,IF(VLOOKUP($B46,味方ステータス,8,0)&gt;VLOOKUP(AK$45,敵ステータス,10,0),1-((2*(VLOOKUP(AK$45,敵ステータス,10,0)+20)-(VLOOKUP($B46,味方ステータス,8,0)+20))^2)/(2*(VLOOKUP($B46,味方ステータス,8,0)+20)*(VLOOKUP(AK$45,敵ステータス,10,0)+20)),IF(2*(VLOOKUP($B46,味方ステータス,8,0)+20)&lt;(VLOOKUP(AK$45,敵ステータス,10,0)+20),0,((2*(VLOOKUP($B46,味方ステータス,8,0)+20)-(VLOOKUP(AK$45,敵ステータス,10,0)+20))^2)/(2*(VLOOKUP($B46,味方ステータス,8,0)+20)*(VLOOKUP(AK$45,敵ステータス,10,0)+20))))))))</f>
        <v>9.9927007299270079E-2</v>
      </c>
      <c r="AL46" s="192"/>
      <c r="AM46" s="193"/>
      <c r="AN46" s="191">
        <f t="shared" ref="AN46:AN53" ca="1" si="16">IF(OR($B46="",AN$45=""),"",IF($B46=AN$45,"-",IF((VLOOKUP(AN$45,敵ステータス,10,0)+20)=(VLOOKUP($B46,味方ステータス,8,0)+20),0.5,IF((VLOOKUP($B46,味方ステータス,8,0)+20)&gt;2*(VLOOKUP(AN$45,敵ステータス,10,0)+20),1,IF(VLOOKUP($B46,味方ステータス,8,0)&gt;VLOOKUP(AN$45,敵ステータス,10,0),1-((2*(VLOOKUP(AN$45,敵ステータス,10,0)+20)-(VLOOKUP($B46,味方ステータス,8,0)+20))^2)/(2*(VLOOKUP($B46,味方ステータス,8,0)+20)*(VLOOKUP(AN$45,敵ステータス,10,0)+20)),IF(2*(VLOOKUP($B46,味方ステータス,8,0)+20)&lt;(VLOOKUP(AN$45,敵ステータス,10,0)+20),0,((2*(VLOOKUP($B46,味方ステータス,8,0)+20)-(VLOOKUP(AN$45,敵ステータス,10,0)+20))^2)/(2*(VLOOKUP($B46,味方ステータス,8,0)+20)*(VLOOKUP(AN$45,敵ステータス,10,0)+20))))))))</f>
        <v>0.92502027575020274</v>
      </c>
      <c r="AO46" s="192"/>
      <c r="AP46" s="193"/>
      <c r="AQ46" s="191">
        <f t="shared" ref="AQ46:AQ53" ca="1" si="17">IF(OR($B46="",AQ$45=""),"",IF($B46=AQ$45,"-",IF((VLOOKUP(AQ$45,敵ステータス,10,0)+20)=(VLOOKUP($B46,味方ステータス,8,0)+20),0.5,IF((VLOOKUP($B46,味方ステータス,8,0)+20)&gt;2*(VLOOKUP(AQ$45,敵ステータス,10,0)+20),1,IF(VLOOKUP($B46,味方ステータス,8,0)&gt;VLOOKUP(AQ$45,敵ステータス,10,0),1-((2*(VLOOKUP(AQ$45,敵ステータス,10,0)+20)-(VLOOKUP($B46,味方ステータス,8,0)+20))^2)/(2*(VLOOKUP($B46,味方ステータス,8,0)+20)*(VLOOKUP(AQ$45,敵ステータス,10,0)+20)),IF(2*(VLOOKUP($B46,味方ステータス,8,0)+20)&lt;(VLOOKUP(AQ$45,敵ステータス,10,0)+20),0,((2*(VLOOKUP($B46,味方ステータス,8,0)+20)-(VLOOKUP(AQ$45,敵ステータス,10,0)+20))^2)/(2*(VLOOKUP($B46,味方ステータス,8,0)+20)*(VLOOKUP(AQ$45,敵ステータス,10,0)+20))))))))</f>
        <v>0.92502027575020274</v>
      </c>
      <c r="AR46" s="192"/>
      <c r="AS46" s="193"/>
      <c r="AT46" s="64"/>
      <c r="AU46" s="72"/>
    </row>
    <row r="47" spans="1:47" x14ac:dyDescent="0.15">
      <c r="A47" s="70"/>
      <c r="B47" s="196" t="str">
        <f t="shared" ref="B47:B53" ca="1" si="18">AA5</f>
        <v>ハッサン</v>
      </c>
      <c r="C47" s="197"/>
      <c r="D47" s="197"/>
      <c r="E47" s="197"/>
      <c r="F47" s="194">
        <f t="shared" ca="1" si="2"/>
        <v>0</v>
      </c>
      <c r="G47" s="193"/>
      <c r="H47" s="194" t="str">
        <f t="shared" ca="1" si="3"/>
        <v>-</v>
      </c>
      <c r="I47" s="193"/>
      <c r="J47" s="194">
        <f t="shared" ca="1" si="4"/>
        <v>7.7575757575757576E-2</v>
      </c>
      <c r="K47" s="193"/>
      <c r="L47" s="194">
        <f t="shared" ca="1" si="5"/>
        <v>0.45632798573975042</v>
      </c>
      <c r="M47" s="193"/>
      <c r="N47" s="194">
        <f t="shared" ca="1" si="6"/>
        <v>0.18639887244538408</v>
      </c>
      <c r="O47" s="193"/>
      <c r="P47" s="194">
        <f t="shared" ca="1" si="7"/>
        <v>0.47772501130710088</v>
      </c>
      <c r="Q47" s="193"/>
      <c r="R47" s="194">
        <f t="shared" ca="1" si="8"/>
        <v>0</v>
      </c>
      <c r="S47" s="193"/>
      <c r="T47" s="194">
        <f t="shared" ca="1" si="9"/>
        <v>0.23096821877309681</v>
      </c>
      <c r="U47" s="193"/>
      <c r="V47" s="191">
        <f t="shared" ca="1" si="10"/>
        <v>0</v>
      </c>
      <c r="W47" s="192"/>
      <c r="X47" s="193"/>
      <c r="Y47" s="191">
        <f t="shared" ca="1" si="11"/>
        <v>0</v>
      </c>
      <c r="Z47" s="192"/>
      <c r="AA47" s="193"/>
      <c r="AB47" s="191">
        <f t="shared" ca="1" si="12"/>
        <v>0</v>
      </c>
      <c r="AC47" s="192"/>
      <c r="AD47" s="193"/>
      <c r="AE47" s="191">
        <f t="shared" ca="1" si="13"/>
        <v>0</v>
      </c>
      <c r="AF47" s="192"/>
      <c r="AG47" s="193"/>
      <c r="AH47" s="191">
        <f t="shared" ca="1" si="14"/>
        <v>0</v>
      </c>
      <c r="AI47" s="192"/>
      <c r="AJ47" s="193"/>
      <c r="AK47" s="191">
        <f t="shared" ca="1" si="15"/>
        <v>0</v>
      </c>
      <c r="AL47" s="192"/>
      <c r="AM47" s="193"/>
      <c r="AN47" s="191">
        <f t="shared" ca="1" si="16"/>
        <v>0.1484848484848485</v>
      </c>
      <c r="AO47" s="192"/>
      <c r="AP47" s="193"/>
      <c r="AQ47" s="191">
        <f t="shared" ca="1" si="17"/>
        <v>0.1484848484848485</v>
      </c>
      <c r="AR47" s="192"/>
      <c r="AS47" s="193"/>
      <c r="AT47" s="64"/>
      <c r="AU47" s="72"/>
    </row>
    <row r="48" spans="1:47" x14ac:dyDescent="0.15">
      <c r="A48" s="70"/>
      <c r="B48" s="196" t="str">
        <f t="shared" ca="1" si="18"/>
        <v>ミレーユ</v>
      </c>
      <c r="C48" s="197"/>
      <c r="D48" s="197"/>
      <c r="E48" s="197"/>
      <c r="F48" s="194">
        <f t="shared" ca="1" si="2"/>
        <v>0.14485401459854014</v>
      </c>
      <c r="G48" s="193"/>
      <c r="H48" s="194">
        <f t="shared" ca="1" si="3"/>
        <v>0.92242424242424237</v>
      </c>
      <c r="I48" s="193"/>
      <c r="J48" s="194" t="str">
        <f t="shared" ca="1" si="4"/>
        <v>-</v>
      </c>
      <c r="K48" s="193"/>
      <c r="L48" s="194">
        <f t="shared" ca="1" si="5"/>
        <v>0.90470588235294114</v>
      </c>
      <c r="M48" s="193"/>
      <c r="N48" s="194">
        <f t="shared" ca="1" si="6"/>
        <v>0.69860465116279069</v>
      </c>
      <c r="O48" s="193"/>
      <c r="P48" s="194">
        <f t="shared" ca="1" si="7"/>
        <v>0.91373134328358208</v>
      </c>
      <c r="Q48" s="193"/>
      <c r="R48" s="194">
        <f t="shared" ca="1" si="8"/>
        <v>0</v>
      </c>
      <c r="S48" s="193"/>
      <c r="T48" s="194">
        <f t="shared" ca="1" si="9"/>
        <v>0.75024390243902439</v>
      </c>
      <c r="U48" s="193"/>
      <c r="V48" s="191">
        <f t="shared" ca="1" si="10"/>
        <v>0.12857142857142856</v>
      </c>
      <c r="W48" s="192"/>
      <c r="X48" s="193"/>
      <c r="Y48" s="191">
        <f t="shared" ca="1" si="11"/>
        <v>0.12857142857142856</v>
      </c>
      <c r="Z48" s="192"/>
      <c r="AA48" s="193"/>
      <c r="AB48" s="191">
        <f t="shared" ca="1" si="12"/>
        <v>0.12857142857142856</v>
      </c>
      <c r="AC48" s="192"/>
      <c r="AD48" s="193"/>
      <c r="AE48" s="191">
        <f t="shared" ca="1" si="13"/>
        <v>0.12857142857142856</v>
      </c>
      <c r="AF48" s="192"/>
      <c r="AG48" s="193"/>
      <c r="AH48" s="191">
        <f t="shared" ca="1" si="14"/>
        <v>0.12857142857142856</v>
      </c>
      <c r="AI48" s="192"/>
      <c r="AJ48" s="193"/>
      <c r="AK48" s="191">
        <f t="shared" ca="1" si="15"/>
        <v>0</v>
      </c>
      <c r="AL48" s="192"/>
      <c r="AM48" s="193"/>
      <c r="AN48" s="191">
        <f t="shared" ca="1" si="16"/>
        <v>0.64444444444444438</v>
      </c>
      <c r="AO48" s="192"/>
      <c r="AP48" s="193"/>
      <c r="AQ48" s="191">
        <f t="shared" ca="1" si="17"/>
        <v>0.64444444444444438</v>
      </c>
      <c r="AR48" s="192"/>
      <c r="AS48" s="193"/>
      <c r="AT48" s="64"/>
      <c r="AU48" s="72"/>
    </row>
    <row r="49" spans="1:47" x14ac:dyDescent="0.15">
      <c r="A49" s="70"/>
      <c r="B49" s="196" t="str">
        <f t="shared" ca="1" si="18"/>
        <v>バーバラ</v>
      </c>
      <c r="C49" s="197"/>
      <c r="D49" s="197"/>
      <c r="E49" s="197"/>
      <c r="F49" s="194">
        <f t="shared" ca="1" si="2"/>
        <v>0</v>
      </c>
      <c r="G49" s="193"/>
      <c r="H49" s="194">
        <f t="shared" ca="1" si="3"/>
        <v>0.54367201426024958</v>
      </c>
      <c r="I49" s="193"/>
      <c r="J49" s="194">
        <f t="shared" ca="1" si="4"/>
        <v>9.5294117647058821E-2</v>
      </c>
      <c r="K49" s="193"/>
      <c r="L49" s="194" t="str">
        <f t="shared" ca="1" si="5"/>
        <v>-</v>
      </c>
      <c r="M49" s="193"/>
      <c r="N49" s="194">
        <f t="shared" ca="1" si="6"/>
        <v>0.2137482900136799</v>
      </c>
      <c r="O49" s="193"/>
      <c r="P49" s="194">
        <f t="shared" ca="1" si="7"/>
        <v>0.52194907813871816</v>
      </c>
      <c r="Q49" s="193"/>
      <c r="R49" s="194">
        <f t="shared" ca="1" si="8"/>
        <v>0</v>
      </c>
      <c r="S49" s="193"/>
      <c r="T49" s="194">
        <f t="shared" ca="1" si="9"/>
        <v>0.26147776183644189</v>
      </c>
      <c r="U49" s="193"/>
      <c r="V49" s="191">
        <f t="shared" ca="1" si="10"/>
        <v>0</v>
      </c>
      <c r="W49" s="192"/>
      <c r="X49" s="193"/>
      <c r="Y49" s="191">
        <f t="shared" ca="1" si="11"/>
        <v>0</v>
      </c>
      <c r="Z49" s="192"/>
      <c r="AA49" s="193"/>
      <c r="AB49" s="191">
        <f t="shared" ca="1" si="12"/>
        <v>0</v>
      </c>
      <c r="AC49" s="192"/>
      <c r="AD49" s="193"/>
      <c r="AE49" s="191">
        <f t="shared" ca="1" si="13"/>
        <v>0</v>
      </c>
      <c r="AF49" s="192"/>
      <c r="AG49" s="193"/>
      <c r="AH49" s="191">
        <f t="shared" ca="1" si="14"/>
        <v>0</v>
      </c>
      <c r="AI49" s="192"/>
      <c r="AJ49" s="193"/>
      <c r="AK49" s="191">
        <f t="shared" ca="1" si="15"/>
        <v>0</v>
      </c>
      <c r="AL49" s="192"/>
      <c r="AM49" s="193"/>
      <c r="AN49" s="191">
        <f t="shared" ca="1" si="16"/>
        <v>0.17287581699346405</v>
      </c>
      <c r="AO49" s="192"/>
      <c r="AP49" s="193"/>
      <c r="AQ49" s="191">
        <f t="shared" ca="1" si="17"/>
        <v>0.17287581699346405</v>
      </c>
      <c r="AR49" s="192"/>
      <c r="AS49" s="193"/>
      <c r="AT49" s="64"/>
      <c r="AU49" s="72"/>
    </row>
    <row r="50" spans="1:47" x14ac:dyDescent="0.15">
      <c r="A50" s="70"/>
      <c r="B50" s="196" t="str">
        <f t="shared" ca="1" si="18"/>
        <v>チャモロ</v>
      </c>
      <c r="C50" s="197"/>
      <c r="D50" s="197"/>
      <c r="E50" s="197"/>
      <c r="F50" s="194">
        <f t="shared" ca="1" si="2"/>
        <v>5.1986080461721269E-2</v>
      </c>
      <c r="G50" s="193"/>
      <c r="H50" s="194">
        <f t="shared" ca="1" si="3"/>
        <v>0.81360112755461589</v>
      </c>
      <c r="I50" s="193"/>
      <c r="J50" s="194">
        <f t="shared" ca="1" si="4"/>
        <v>0.30139534883720931</v>
      </c>
      <c r="K50" s="193"/>
      <c r="L50" s="194">
        <f t="shared" ca="1" si="5"/>
        <v>0.7862517099863201</v>
      </c>
      <c r="M50" s="193"/>
      <c r="N50" s="194" t="str">
        <f t="shared" ca="1" si="6"/>
        <v>-</v>
      </c>
      <c r="O50" s="193"/>
      <c r="P50" s="194">
        <f t="shared" ca="1" si="7"/>
        <v>0.80006942034015971</v>
      </c>
      <c r="Q50" s="193"/>
      <c r="R50" s="194">
        <f t="shared" ca="1" si="8"/>
        <v>0</v>
      </c>
      <c r="S50" s="193"/>
      <c r="T50" s="194">
        <f t="shared" ca="1" si="9"/>
        <v>0.56863301191151439</v>
      </c>
      <c r="U50" s="193"/>
      <c r="V50" s="191">
        <f t="shared" ca="1" si="10"/>
        <v>4.2524916943521597E-2</v>
      </c>
      <c r="W50" s="192"/>
      <c r="X50" s="193"/>
      <c r="Y50" s="191">
        <f t="shared" ca="1" si="11"/>
        <v>4.2524916943521597E-2</v>
      </c>
      <c r="Z50" s="192"/>
      <c r="AA50" s="193"/>
      <c r="AB50" s="191">
        <f t="shared" ca="1" si="12"/>
        <v>4.2524916943521597E-2</v>
      </c>
      <c r="AC50" s="192"/>
      <c r="AD50" s="193"/>
      <c r="AE50" s="191">
        <f t="shared" ca="1" si="13"/>
        <v>4.2524916943521597E-2</v>
      </c>
      <c r="AF50" s="192"/>
      <c r="AG50" s="193"/>
      <c r="AH50" s="191">
        <f t="shared" ca="1" si="14"/>
        <v>4.2524916943521597E-2</v>
      </c>
      <c r="AI50" s="192"/>
      <c r="AJ50" s="193"/>
      <c r="AK50" s="191">
        <f t="shared" ca="1" si="15"/>
        <v>0</v>
      </c>
      <c r="AL50" s="192"/>
      <c r="AM50" s="193"/>
      <c r="AN50" s="191">
        <f t="shared" ca="1" si="16"/>
        <v>0.43436692506459951</v>
      </c>
      <c r="AO50" s="192"/>
      <c r="AP50" s="193"/>
      <c r="AQ50" s="191">
        <f t="shared" ca="1" si="17"/>
        <v>0.43436692506459951</v>
      </c>
      <c r="AR50" s="192"/>
      <c r="AS50" s="193"/>
      <c r="AT50" s="64"/>
      <c r="AU50" s="72"/>
    </row>
    <row r="51" spans="1:47" x14ac:dyDescent="0.15">
      <c r="A51" s="70"/>
      <c r="B51" s="196" t="str">
        <f t="shared" ca="1" si="18"/>
        <v>アモス</v>
      </c>
      <c r="C51" s="197"/>
      <c r="D51" s="197"/>
      <c r="E51" s="197"/>
      <c r="F51" s="194">
        <f t="shared" ca="1" si="2"/>
        <v>0</v>
      </c>
      <c r="G51" s="193"/>
      <c r="H51" s="194">
        <f t="shared" ca="1" si="3"/>
        <v>0.52227498869289912</v>
      </c>
      <c r="I51" s="193"/>
      <c r="J51" s="194">
        <f t="shared" ca="1" si="4"/>
        <v>8.626865671641791E-2</v>
      </c>
      <c r="K51" s="193"/>
      <c r="L51" s="194">
        <f t="shared" ca="1" si="5"/>
        <v>0.47805092186128184</v>
      </c>
      <c r="M51" s="193"/>
      <c r="N51" s="194">
        <f t="shared" ca="1" si="6"/>
        <v>0.19993057965984035</v>
      </c>
      <c r="O51" s="193"/>
      <c r="P51" s="194" t="str">
        <f t="shared" ca="1" si="7"/>
        <v>-</v>
      </c>
      <c r="Q51" s="193"/>
      <c r="R51" s="194">
        <f t="shared" ca="1" si="8"/>
        <v>0</v>
      </c>
      <c r="S51" s="193"/>
      <c r="T51" s="194">
        <f t="shared" ca="1" si="9"/>
        <v>0.24608663997087732</v>
      </c>
      <c r="U51" s="193"/>
      <c r="V51" s="191">
        <f t="shared" ca="1" si="10"/>
        <v>0</v>
      </c>
      <c r="W51" s="192"/>
      <c r="X51" s="193"/>
      <c r="Y51" s="191">
        <f t="shared" ca="1" si="11"/>
        <v>0</v>
      </c>
      <c r="Z51" s="192"/>
      <c r="AA51" s="193"/>
      <c r="AB51" s="191">
        <f t="shared" ca="1" si="12"/>
        <v>0</v>
      </c>
      <c r="AC51" s="192"/>
      <c r="AD51" s="193"/>
      <c r="AE51" s="191">
        <f t="shared" ca="1" si="13"/>
        <v>0</v>
      </c>
      <c r="AF51" s="192"/>
      <c r="AG51" s="193"/>
      <c r="AH51" s="191">
        <f t="shared" ca="1" si="14"/>
        <v>0</v>
      </c>
      <c r="AI51" s="192"/>
      <c r="AJ51" s="193"/>
      <c r="AK51" s="191">
        <f t="shared" ca="1" si="15"/>
        <v>0</v>
      </c>
      <c r="AL51" s="192"/>
      <c r="AM51" s="193"/>
      <c r="AN51" s="191">
        <f t="shared" ca="1" si="16"/>
        <v>0.16053067993366502</v>
      </c>
      <c r="AO51" s="192"/>
      <c r="AP51" s="193"/>
      <c r="AQ51" s="191">
        <f t="shared" ca="1" si="17"/>
        <v>0.16053067993366502</v>
      </c>
      <c r="AR51" s="192"/>
      <c r="AS51" s="193"/>
      <c r="AT51" s="64"/>
      <c r="AU51" s="72"/>
    </row>
    <row r="52" spans="1:47" x14ac:dyDescent="0.15">
      <c r="A52" s="70"/>
      <c r="B52" s="196" t="str">
        <f t="shared" ca="1" si="18"/>
        <v>テリー</v>
      </c>
      <c r="C52" s="197"/>
      <c r="D52" s="197"/>
      <c r="E52" s="197"/>
      <c r="F52" s="194">
        <f t="shared" ca="1" si="2"/>
        <v>0.99799409372039893</v>
      </c>
      <c r="G52" s="193"/>
      <c r="H52" s="194">
        <f t="shared" ca="1" si="3"/>
        <v>1</v>
      </c>
      <c r="I52" s="193"/>
      <c r="J52" s="194">
        <f t="shared" ca="1" si="4"/>
        <v>1</v>
      </c>
      <c r="K52" s="193"/>
      <c r="L52" s="194">
        <f t="shared" ca="1" si="5"/>
        <v>1</v>
      </c>
      <c r="M52" s="193"/>
      <c r="N52" s="194">
        <f t="shared" ca="1" si="6"/>
        <v>1</v>
      </c>
      <c r="O52" s="193"/>
      <c r="P52" s="194">
        <f t="shared" ca="1" si="7"/>
        <v>1</v>
      </c>
      <c r="Q52" s="193"/>
      <c r="R52" s="194" t="str">
        <f t="shared" ca="1" si="8"/>
        <v>-</v>
      </c>
      <c r="S52" s="193"/>
      <c r="T52" s="194">
        <f t="shared" ca="1" si="9"/>
        <v>1</v>
      </c>
      <c r="U52" s="193"/>
      <c r="V52" s="191">
        <f t="shared" ca="1" si="10"/>
        <v>0.9955834242093784</v>
      </c>
      <c r="W52" s="192"/>
      <c r="X52" s="193"/>
      <c r="Y52" s="191">
        <f t="shared" ca="1" si="11"/>
        <v>0.9955834242093784</v>
      </c>
      <c r="Z52" s="192"/>
      <c r="AA52" s="193"/>
      <c r="AB52" s="191">
        <f t="shared" ca="1" si="12"/>
        <v>0.9955834242093784</v>
      </c>
      <c r="AC52" s="192"/>
      <c r="AD52" s="193"/>
      <c r="AE52" s="191">
        <f t="shared" ca="1" si="13"/>
        <v>0.9955834242093784</v>
      </c>
      <c r="AF52" s="192"/>
      <c r="AG52" s="193"/>
      <c r="AH52" s="191">
        <f t="shared" ca="1" si="14"/>
        <v>0.9955834242093784</v>
      </c>
      <c r="AI52" s="192"/>
      <c r="AJ52" s="193"/>
      <c r="AK52" s="191">
        <f t="shared" ca="1" si="15"/>
        <v>0.81828244274809159</v>
      </c>
      <c r="AL52" s="192"/>
      <c r="AM52" s="193"/>
      <c r="AN52" s="191">
        <f t="shared" ca="1" si="16"/>
        <v>1</v>
      </c>
      <c r="AO52" s="192"/>
      <c r="AP52" s="193"/>
      <c r="AQ52" s="191">
        <f t="shared" ca="1" si="17"/>
        <v>1</v>
      </c>
      <c r="AR52" s="192"/>
      <c r="AS52" s="193"/>
      <c r="AT52" s="64"/>
      <c r="AU52" s="72"/>
    </row>
    <row r="53" spans="1:47" x14ac:dyDescent="0.15">
      <c r="A53" s="70"/>
      <c r="B53" s="196" t="str">
        <f t="shared" ca="1" si="18"/>
        <v>ドランゴ</v>
      </c>
      <c r="C53" s="197"/>
      <c r="D53" s="197"/>
      <c r="E53" s="197"/>
      <c r="F53" s="194">
        <f t="shared" ca="1" si="2"/>
        <v>3.2446145629339507E-2</v>
      </c>
      <c r="G53" s="193"/>
      <c r="H53" s="194">
        <f t="shared" ca="1" si="3"/>
        <v>0.76903178122690319</v>
      </c>
      <c r="I53" s="193"/>
      <c r="J53" s="194">
        <f t="shared" ca="1" si="4"/>
        <v>0.24975609756097561</v>
      </c>
      <c r="K53" s="193"/>
      <c r="L53" s="194">
        <f t="shared" ca="1" si="5"/>
        <v>0.73852223816355811</v>
      </c>
      <c r="M53" s="193"/>
      <c r="N53" s="194">
        <f t="shared" ca="1" si="6"/>
        <v>0.43136698808848556</v>
      </c>
      <c r="O53" s="193"/>
      <c r="P53" s="194">
        <f t="shared" ca="1" si="7"/>
        <v>0.75391336002912268</v>
      </c>
      <c r="Q53" s="193"/>
      <c r="R53" s="194">
        <f t="shared" ca="1" si="8"/>
        <v>0</v>
      </c>
      <c r="S53" s="193"/>
      <c r="T53" s="194" t="str">
        <f t="shared" ca="1" si="9"/>
        <v>-</v>
      </c>
      <c r="U53" s="193"/>
      <c r="V53" s="191">
        <f t="shared" ca="1" si="10"/>
        <v>2.5087108013937282E-2</v>
      </c>
      <c r="W53" s="192"/>
      <c r="X53" s="193"/>
      <c r="Y53" s="191">
        <f t="shared" ca="1" si="11"/>
        <v>2.5087108013937282E-2</v>
      </c>
      <c r="Z53" s="192"/>
      <c r="AA53" s="193"/>
      <c r="AB53" s="191">
        <f t="shared" ca="1" si="12"/>
        <v>2.5087108013937282E-2</v>
      </c>
      <c r="AC53" s="192"/>
      <c r="AD53" s="193"/>
      <c r="AE53" s="191">
        <f t="shared" ca="1" si="13"/>
        <v>2.5087108013937282E-2</v>
      </c>
      <c r="AF53" s="192"/>
      <c r="AG53" s="193"/>
      <c r="AH53" s="191">
        <f t="shared" ca="1" si="14"/>
        <v>2.5087108013937282E-2</v>
      </c>
      <c r="AI53" s="192"/>
      <c r="AJ53" s="193"/>
      <c r="AK53" s="191">
        <f t="shared" ca="1" si="15"/>
        <v>0</v>
      </c>
      <c r="AL53" s="192"/>
      <c r="AM53" s="193"/>
      <c r="AN53" s="191">
        <f t="shared" ca="1" si="16"/>
        <v>0.37100271002710028</v>
      </c>
      <c r="AO53" s="192"/>
      <c r="AP53" s="193"/>
      <c r="AQ53" s="191">
        <f t="shared" ca="1" si="17"/>
        <v>0.37100271002710028</v>
      </c>
      <c r="AR53" s="192"/>
      <c r="AS53" s="193"/>
      <c r="AT53" s="64"/>
      <c r="AU53" s="72"/>
    </row>
    <row r="54" spans="1:47" ht="3.75" customHeight="1" x14ac:dyDescent="0.1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row>
    <row r="57" spans="1:47" x14ac:dyDescent="0.15">
      <c r="B57" s="130"/>
      <c r="I57" s="130"/>
      <c r="T57" s="65" t="str">
        <f ca="1">補助シート!M86</f>
        <v/>
      </c>
      <c r="Y57" s="242"/>
      <c r="Z57" s="242"/>
    </row>
  </sheetData>
  <mergeCells count="729">
    <mergeCell ref="Y57:Z57"/>
    <mergeCell ref="AR17:AS17"/>
    <mergeCell ref="N18:O18"/>
    <mergeCell ref="P18:Q18"/>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D19:AG19"/>
    <mergeCell ref="AH19:AK19"/>
    <mergeCell ref="AL19:AO19"/>
    <mergeCell ref="AP19:AS19"/>
    <mergeCell ref="N20:O20"/>
    <mergeCell ref="P20:Q20"/>
    <mergeCell ref="AD16:AE16"/>
    <mergeCell ref="AF16:AG16"/>
    <mergeCell ref="AH16:AI16"/>
    <mergeCell ref="AJ16:AK16"/>
    <mergeCell ref="AL16:AM16"/>
    <mergeCell ref="AN16:AO16"/>
    <mergeCell ref="AP16:AQ16"/>
    <mergeCell ref="AR16:AS16"/>
    <mergeCell ref="K17:L17"/>
    <mergeCell ref="N17:O17"/>
    <mergeCell ref="P17:Q17"/>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4:AS14"/>
    <mergeCell ref="K15:L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D13:AE13"/>
    <mergeCell ref="AF13:AG13"/>
    <mergeCell ref="AH13:AI13"/>
    <mergeCell ref="AJ13:AK13"/>
    <mergeCell ref="AL13:AM13"/>
    <mergeCell ref="AN13:AO13"/>
    <mergeCell ref="AP13:AQ13"/>
    <mergeCell ref="AR13:AS13"/>
    <mergeCell ref="K14:L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B13:I18"/>
    <mergeCell ref="N13:O13"/>
    <mergeCell ref="P13:Q13"/>
    <mergeCell ref="R13:S13"/>
    <mergeCell ref="T13:U13"/>
    <mergeCell ref="V13:W13"/>
    <mergeCell ref="X13:Y13"/>
    <mergeCell ref="Z13:AA13"/>
    <mergeCell ref="AB13:AC13"/>
    <mergeCell ref="K16:L16"/>
    <mergeCell ref="N16:O16"/>
    <mergeCell ref="P16:Q16"/>
    <mergeCell ref="R16:S16"/>
    <mergeCell ref="T16:U16"/>
    <mergeCell ref="V16:W16"/>
    <mergeCell ref="X16:Y16"/>
    <mergeCell ref="Z16:AA16"/>
    <mergeCell ref="AB16:AC16"/>
    <mergeCell ref="K30:L30"/>
    <mergeCell ref="K31:L31"/>
    <mergeCell ref="B29:I34"/>
    <mergeCell ref="K32:L32"/>
    <mergeCell ref="K33:L33"/>
    <mergeCell ref="D2:E2"/>
    <mergeCell ref="F2:I2"/>
    <mergeCell ref="B3:E3"/>
    <mergeCell ref="B4:E4"/>
    <mergeCell ref="B11:E11"/>
    <mergeCell ref="F3:G3"/>
    <mergeCell ref="F4:G4"/>
    <mergeCell ref="F5:G5"/>
    <mergeCell ref="F6:G6"/>
    <mergeCell ref="F7:G7"/>
    <mergeCell ref="F8:G8"/>
    <mergeCell ref="F9:G9"/>
    <mergeCell ref="F10:G10"/>
    <mergeCell ref="F11:G11"/>
    <mergeCell ref="B5:E5"/>
    <mergeCell ref="B6:E6"/>
    <mergeCell ref="B7:E7"/>
    <mergeCell ref="B8:E8"/>
    <mergeCell ref="B9:E9"/>
    <mergeCell ref="B10:E10"/>
    <mergeCell ref="AA7:AB7"/>
    <mergeCell ref="AA8:AB8"/>
    <mergeCell ref="AA9:AB9"/>
    <mergeCell ref="AA10:AB10"/>
    <mergeCell ref="AA11:AB11"/>
    <mergeCell ref="AA3:AB3"/>
    <mergeCell ref="AA4:AB4"/>
    <mergeCell ref="AA5:AB5"/>
    <mergeCell ref="AA6:AB6"/>
    <mergeCell ref="AR20:AS20"/>
    <mergeCell ref="AF20:AG20"/>
    <mergeCell ref="AH20:AI20"/>
    <mergeCell ref="AJ20:AK20"/>
    <mergeCell ref="AL20:AM20"/>
    <mergeCell ref="AN20:AO20"/>
    <mergeCell ref="AP20:AQ20"/>
    <mergeCell ref="T20:U20"/>
    <mergeCell ref="V20:W20"/>
    <mergeCell ref="X20:Y20"/>
    <mergeCell ref="Z20:AA20"/>
    <mergeCell ref="AB20:AC20"/>
    <mergeCell ref="AD20:AE20"/>
    <mergeCell ref="V21:W21"/>
    <mergeCell ref="X21:Y21"/>
    <mergeCell ref="Z21:AA21"/>
    <mergeCell ref="AB21:AC21"/>
    <mergeCell ref="AD21:AE21"/>
    <mergeCell ref="R20:S20"/>
    <mergeCell ref="N19:Q19"/>
    <mergeCell ref="R19:U19"/>
    <mergeCell ref="V19:Y19"/>
    <mergeCell ref="Z19:AC19"/>
    <mergeCell ref="AR21:AS21"/>
    <mergeCell ref="N22:O22"/>
    <mergeCell ref="P22:Q22"/>
    <mergeCell ref="R22:S22"/>
    <mergeCell ref="T22:U22"/>
    <mergeCell ref="V22:W22"/>
    <mergeCell ref="X22:Y22"/>
    <mergeCell ref="Z22:AA22"/>
    <mergeCell ref="AB22:AC22"/>
    <mergeCell ref="AD22:AE22"/>
    <mergeCell ref="AF21:AG21"/>
    <mergeCell ref="AH21:AI21"/>
    <mergeCell ref="AJ21:AK21"/>
    <mergeCell ref="AL21:AM21"/>
    <mergeCell ref="AN21:AO21"/>
    <mergeCell ref="AP21:AQ21"/>
    <mergeCell ref="AR22:AS22"/>
    <mergeCell ref="AL22:AM22"/>
    <mergeCell ref="AN22:AO22"/>
    <mergeCell ref="AP22:AQ22"/>
    <mergeCell ref="N21:O21"/>
    <mergeCell ref="P21:Q21"/>
    <mergeCell ref="R21:S21"/>
    <mergeCell ref="T21:U21"/>
    <mergeCell ref="AR23:AS23"/>
    <mergeCell ref="N24:O24"/>
    <mergeCell ref="P24:Q24"/>
    <mergeCell ref="R24:S24"/>
    <mergeCell ref="T24:U24"/>
    <mergeCell ref="V24:W24"/>
    <mergeCell ref="X24:Y24"/>
    <mergeCell ref="Z24:AA24"/>
    <mergeCell ref="AB24:AC24"/>
    <mergeCell ref="AD24:AE24"/>
    <mergeCell ref="AF23:AG23"/>
    <mergeCell ref="AH23:AI23"/>
    <mergeCell ref="AJ23:AK23"/>
    <mergeCell ref="AL23:AM23"/>
    <mergeCell ref="AN23:AO23"/>
    <mergeCell ref="AP23:AQ23"/>
    <mergeCell ref="AR24:AS24"/>
    <mergeCell ref="AF24:AG24"/>
    <mergeCell ref="N23:O23"/>
    <mergeCell ref="P23:Q23"/>
    <mergeCell ref="R23:S23"/>
    <mergeCell ref="AL24:AM24"/>
    <mergeCell ref="AN24:AO24"/>
    <mergeCell ref="AP24:AQ24"/>
    <mergeCell ref="AD25:AE25"/>
    <mergeCell ref="AF22:AG22"/>
    <mergeCell ref="AH22:AI22"/>
    <mergeCell ref="AJ22:AK22"/>
    <mergeCell ref="T23:U23"/>
    <mergeCell ref="V23:W23"/>
    <mergeCell ref="X23:Y23"/>
    <mergeCell ref="Z23:AA23"/>
    <mergeCell ref="AB23:AC23"/>
    <mergeCell ref="AD23:AE23"/>
    <mergeCell ref="AH24:AI24"/>
    <mergeCell ref="AJ24:AK24"/>
    <mergeCell ref="AR25:AS25"/>
    <mergeCell ref="N26:O26"/>
    <mergeCell ref="P26:Q26"/>
    <mergeCell ref="R26:S26"/>
    <mergeCell ref="T26:U26"/>
    <mergeCell ref="V26:W26"/>
    <mergeCell ref="X26:Y26"/>
    <mergeCell ref="Z26:AA26"/>
    <mergeCell ref="AB26:AC26"/>
    <mergeCell ref="AD26:AE26"/>
    <mergeCell ref="AF25:AG25"/>
    <mergeCell ref="AH25:AI25"/>
    <mergeCell ref="AJ25:AK25"/>
    <mergeCell ref="AL25:AM25"/>
    <mergeCell ref="AN25:AO25"/>
    <mergeCell ref="AP25:AQ25"/>
    <mergeCell ref="N25:O25"/>
    <mergeCell ref="P25:Q25"/>
    <mergeCell ref="R25:S25"/>
    <mergeCell ref="T25:U25"/>
    <mergeCell ref="V25:W25"/>
    <mergeCell ref="X25:Y25"/>
    <mergeCell ref="Z25:AA25"/>
    <mergeCell ref="AB25:AC25"/>
    <mergeCell ref="AR26:AS26"/>
    <mergeCell ref="N27:O27"/>
    <mergeCell ref="P27:Q27"/>
    <mergeCell ref="R27:S27"/>
    <mergeCell ref="T27:U27"/>
    <mergeCell ref="V27:W27"/>
    <mergeCell ref="X27:Y27"/>
    <mergeCell ref="Z27:AA27"/>
    <mergeCell ref="AB27:AC27"/>
    <mergeCell ref="AD27:AE27"/>
    <mergeCell ref="AF26:AG26"/>
    <mergeCell ref="AH26:AI26"/>
    <mergeCell ref="AJ26:AK26"/>
    <mergeCell ref="AL26:AM26"/>
    <mergeCell ref="AN26:AO26"/>
    <mergeCell ref="AP26:AQ26"/>
    <mergeCell ref="AR27:AS27"/>
    <mergeCell ref="AH36:AI36"/>
    <mergeCell ref="AJ36:AK36"/>
    <mergeCell ref="AL36:AM36"/>
    <mergeCell ref="J37:K37"/>
    <mergeCell ref="L37:M37"/>
    <mergeCell ref="N37:O37"/>
    <mergeCell ref="P37:Q37"/>
    <mergeCell ref="V36:W36"/>
    <mergeCell ref="X36:Y36"/>
    <mergeCell ref="Z36:AA36"/>
    <mergeCell ref="AB36:AC36"/>
    <mergeCell ref="AD36:AE36"/>
    <mergeCell ref="AF36:AG36"/>
    <mergeCell ref="J36:K36"/>
    <mergeCell ref="L36:M36"/>
    <mergeCell ref="N36:O36"/>
    <mergeCell ref="P36:Q36"/>
    <mergeCell ref="R36:S36"/>
    <mergeCell ref="T36:U36"/>
    <mergeCell ref="AL37:AM37"/>
    <mergeCell ref="AD37:AE37"/>
    <mergeCell ref="AF37:AG37"/>
    <mergeCell ref="AH37:AI37"/>
    <mergeCell ref="AJ37:AK37"/>
    <mergeCell ref="J38:K38"/>
    <mergeCell ref="L38:M38"/>
    <mergeCell ref="R37:S37"/>
    <mergeCell ref="T37:U37"/>
    <mergeCell ref="V37:W37"/>
    <mergeCell ref="X37:Y37"/>
    <mergeCell ref="Z37:AA37"/>
    <mergeCell ref="AB37:AC37"/>
    <mergeCell ref="P38:Q38"/>
    <mergeCell ref="R38:S38"/>
    <mergeCell ref="T38:U38"/>
    <mergeCell ref="V38:W38"/>
    <mergeCell ref="X38:Y38"/>
    <mergeCell ref="J40:K40"/>
    <mergeCell ref="L40:M40"/>
    <mergeCell ref="N40:O40"/>
    <mergeCell ref="P40:Q40"/>
    <mergeCell ref="V39:W39"/>
    <mergeCell ref="X39:Y39"/>
    <mergeCell ref="Z39:AA39"/>
    <mergeCell ref="AB39:AC39"/>
    <mergeCell ref="AD39:AE39"/>
    <mergeCell ref="J39:K39"/>
    <mergeCell ref="L39:M39"/>
    <mergeCell ref="N39:O39"/>
    <mergeCell ref="P39:Q39"/>
    <mergeCell ref="T39:U39"/>
    <mergeCell ref="R39:S39"/>
    <mergeCell ref="B20:E20"/>
    <mergeCell ref="B22:E22"/>
    <mergeCell ref="B21:E21"/>
    <mergeCell ref="B23:E23"/>
    <mergeCell ref="B24:E24"/>
    <mergeCell ref="N29:O29"/>
    <mergeCell ref="B25:E25"/>
    <mergeCell ref="B26:E26"/>
    <mergeCell ref="J20:K20"/>
    <mergeCell ref="J21:K21"/>
    <mergeCell ref="J22:K22"/>
    <mergeCell ref="J23:K23"/>
    <mergeCell ref="J24:K24"/>
    <mergeCell ref="J25:K25"/>
    <mergeCell ref="J26:K26"/>
    <mergeCell ref="J27:K27"/>
    <mergeCell ref="L24:M24"/>
    <mergeCell ref="L25:M25"/>
    <mergeCell ref="L26:M26"/>
    <mergeCell ref="L27:M27"/>
    <mergeCell ref="F26:I26"/>
    <mergeCell ref="AN34:AO34"/>
    <mergeCell ref="AH35:AK35"/>
    <mergeCell ref="AL35:AO35"/>
    <mergeCell ref="AN32:AO32"/>
    <mergeCell ref="X31:Y31"/>
    <mergeCell ref="Z31:AA31"/>
    <mergeCell ref="AB31:AC31"/>
    <mergeCell ref="AD31:AE31"/>
    <mergeCell ref="B27:E27"/>
    <mergeCell ref="P29:Q29"/>
    <mergeCell ref="R29:S29"/>
    <mergeCell ref="T29:U29"/>
    <mergeCell ref="AD34:AE34"/>
    <mergeCell ref="AF34:AG34"/>
    <mergeCell ref="AH34:AI34"/>
    <mergeCell ref="AJ34:AK34"/>
    <mergeCell ref="AL34:AM34"/>
    <mergeCell ref="R34:S34"/>
    <mergeCell ref="T34:U34"/>
    <mergeCell ref="V34:W34"/>
    <mergeCell ref="X34:Y34"/>
    <mergeCell ref="Z34:AA34"/>
    <mergeCell ref="AB34:AC34"/>
    <mergeCell ref="AH32:AI32"/>
    <mergeCell ref="B38:E38"/>
    <mergeCell ref="F38:I38"/>
    <mergeCell ref="AN38:AO38"/>
    <mergeCell ref="B39:E39"/>
    <mergeCell ref="F39:I39"/>
    <mergeCell ref="AN39:AO39"/>
    <mergeCell ref="B36:E36"/>
    <mergeCell ref="F36:I36"/>
    <mergeCell ref="AN36:AO36"/>
    <mergeCell ref="B37:E37"/>
    <mergeCell ref="F37:I37"/>
    <mergeCell ref="AN37:AO37"/>
    <mergeCell ref="AH39:AI39"/>
    <mergeCell ref="AJ39:AK39"/>
    <mergeCell ref="AL39:AM39"/>
    <mergeCell ref="AF39:AG39"/>
    <mergeCell ref="AL38:AM38"/>
    <mergeCell ref="Z38:AA38"/>
    <mergeCell ref="AB38:AC38"/>
    <mergeCell ref="AD38:AE38"/>
    <mergeCell ref="AF38:AG38"/>
    <mergeCell ref="AH38:AI38"/>
    <mergeCell ref="AJ38:AK38"/>
    <mergeCell ref="N38:O38"/>
    <mergeCell ref="AN31:AO31"/>
    <mergeCell ref="AP31:AQ31"/>
    <mergeCell ref="AJ29:AK29"/>
    <mergeCell ref="AL29:AM29"/>
    <mergeCell ref="AN29:AO29"/>
    <mergeCell ref="AP29:AQ29"/>
    <mergeCell ref="AF27:AG27"/>
    <mergeCell ref="AH27:AI27"/>
    <mergeCell ref="AJ27:AK27"/>
    <mergeCell ref="AL27:AM27"/>
    <mergeCell ref="AN27:AO27"/>
    <mergeCell ref="AP27:AQ27"/>
    <mergeCell ref="AR29:AS29"/>
    <mergeCell ref="N31:O31"/>
    <mergeCell ref="P31:Q31"/>
    <mergeCell ref="R31:S31"/>
    <mergeCell ref="T31:U31"/>
    <mergeCell ref="V31:W31"/>
    <mergeCell ref="X29:Y29"/>
    <mergeCell ref="Z29:AA29"/>
    <mergeCell ref="AB29:AC29"/>
    <mergeCell ref="AD29:AE29"/>
    <mergeCell ref="AF29:AG29"/>
    <mergeCell ref="AH29:AI29"/>
    <mergeCell ref="V29:W29"/>
    <mergeCell ref="AF30:AG30"/>
    <mergeCell ref="AH30:AI30"/>
    <mergeCell ref="AJ30:AK30"/>
    <mergeCell ref="AL30:AM30"/>
    <mergeCell ref="AN30:AO30"/>
    <mergeCell ref="AP30:AQ30"/>
    <mergeCell ref="AR30:AS30"/>
    <mergeCell ref="X30:Y30"/>
    <mergeCell ref="Z30:AA30"/>
    <mergeCell ref="AB30:AC30"/>
    <mergeCell ref="AD30:AE30"/>
    <mergeCell ref="N35:Q35"/>
    <mergeCell ref="R35:U35"/>
    <mergeCell ref="V35:Y35"/>
    <mergeCell ref="Z35:AC35"/>
    <mergeCell ref="AD35:AG35"/>
    <mergeCell ref="AF31:AG31"/>
    <mergeCell ref="AH31:AI31"/>
    <mergeCell ref="AJ31:AK31"/>
    <mergeCell ref="AL31:AM31"/>
    <mergeCell ref="AJ32:AK32"/>
    <mergeCell ref="AL32:AM32"/>
    <mergeCell ref="N34:O34"/>
    <mergeCell ref="P34:Q34"/>
    <mergeCell ref="V32:W32"/>
    <mergeCell ref="X32:Y32"/>
    <mergeCell ref="Z32:AA32"/>
    <mergeCell ref="AB32:AC32"/>
    <mergeCell ref="AD32:AE32"/>
    <mergeCell ref="AF32:AG32"/>
    <mergeCell ref="N32:O32"/>
    <mergeCell ref="P32:Q32"/>
    <mergeCell ref="R32:S32"/>
    <mergeCell ref="T32:U32"/>
    <mergeCell ref="X33:Y33"/>
    <mergeCell ref="AP35:AS35"/>
    <mergeCell ref="AP36:AQ36"/>
    <mergeCell ref="AR36:AS36"/>
    <mergeCell ref="AP37:AQ37"/>
    <mergeCell ref="AR37:AS37"/>
    <mergeCell ref="AP38:AQ38"/>
    <mergeCell ref="AR38:AS38"/>
    <mergeCell ref="AR31:AS31"/>
    <mergeCell ref="AP32:AQ32"/>
    <mergeCell ref="AR32:AS32"/>
    <mergeCell ref="AP34:AQ34"/>
    <mergeCell ref="AR34:AS34"/>
    <mergeCell ref="AR33:AS33"/>
    <mergeCell ref="AP39:AQ39"/>
    <mergeCell ref="AR39:AS39"/>
    <mergeCell ref="AP40:AQ40"/>
    <mergeCell ref="AR40:AS40"/>
    <mergeCell ref="B41:E41"/>
    <mergeCell ref="F41:I41"/>
    <mergeCell ref="J41:K41"/>
    <mergeCell ref="L41:M41"/>
    <mergeCell ref="N41:O41"/>
    <mergeCell ref="P41:Q41"/>
    <mergeCell ref="B40:E40"/>
    <mergeCell ref="F40:I40"/>
    <mergeCell ref="AN40:AO40"/>
    <mergeCell ref="AD40:AE40"/>
    <mergeCell ref="AF40:AG40"/>
    <mergeCell ref="AH40:AI40"/>
    <mergeCell ref="AJ40:AK40"/>
    <mergeCell ref="AL40:AM40"/>
    <mergeCell ref="R40:S40"/>
    <mergeCell ref="T40:U40"/>
    <mergeCell ref="V40:W40"/>
    <mergeCell ref="X40:Y40"/>
    <mergeCell ref="Z40:AA40"/>
    <mergeCell ref="AB40:AC40"/>
    <mergeCell ref="AP41:AQ41"/>
    <mergeCell ref="AR41:AS41"/>
    <mergeCell ref="B42:E42"/>
    <mergeCell ref="F42:I42"/>
    <mergeCell ref="J42:K42"/>
    <mergeCell ref="L42:M42"/>
    <mergeCell ref="N42:O42"/>
    <mergeCell ref="P42:Q42"/>
    <mergeCell ref="R42:S42"/>
    <mergeCell ref="T42:U42"/>
    <mergeCell ref="AD41:AE41"/>
    <mergeCell ref="AF41:AG41"/>
    <mergeCell ref="AH41:AI41"/>
    <mergeCell ref="AJ41:AK41"/>
    <mergeCell ref="AL41:AM41"/>
    <mergeCell ref="AN41:AO41"/>
    <mergeCell ref="R41:S41"/>
    <mergeCell ref="T41:U41"/>
    <mergeCell ref="V41:W41"/>
    <mergeCell ref="X41:Y41"/>
    <mergeCell ref="Z41:AA41"/>
    <mergeCell ref="AB41:AC41"/>
    <mergeCell ref="AN42:AO42"/>
    <mergeCell ref="AP42:AQ42"/>
    <mergeCell ref="AP43:AQ43"/>
    <mergeCell ref="AR43:AS43"/>
    <mergeCell ref="AD43:AE43"/>
    <mergeCell ref="AF43:AG43"/>
    <mergeCell ref="AH43:AI43"/>
    <mergeCell ref="AJ43:AK43"/>
    <mergeCell ref="AL43:AM43"/>
    <mergeCell ref="AN43:AO43"/>
    <mergeCell ref="R43:S43"/>
    <mergeCell ref="T43:U43"/>
    <mergeCell ref="AR42:AS42"/>
    <mergeCell ref="V42:W42"/>
    <mergeCell ref="X42:Y42"/>
    <mergeCell ref="Z42:AA42"/>
    <mergeCell ref="AB42:AC42"/>
    <mergeCell ref="AD42:AE42"/>
    <mergeCell ref="AF42:AG42"/>
    <mergeCell ref="B51:E51"/>
    <mergeCell ref="B52:E52"/>
    <mergeCell ref="AE45:AG45"/>
    <mergeCell ref="AH45:AJ45"/>
    <mergeCell ref="AK45:AM45"/>
    <mergeCell ref="AN45:AP45"/>
    <mergeCell ref="AH42:AI42"/>
    <mergeCell ref="AJ42:AK42"/>
    <mergeCell ref="AL42:AM42"/>
    <mergeCell ref="AQ45:AS45"/>
    <mergeCell ref="F45:G45"/>
    <mergeCell ref="H45:I45"/>
    <mergeCell ref="J45:K45"/>
    <mergeCell ref="L45:M45"/>
    <mergeCell ref="N45:O45"/>
    <mergeCell ref="P45:Q45"/>
    <mergeCell ref="R45:S45"/>
    <mergeCell ref="B53:E53"/>
    <mergeCell ref="B45:E45"/>
    <mergeCell ref="B46:E46"/>
    <mergeCell ref="B47:E47"/>
    <mergeCell ref="B48:E48"/>
    <mergeCell ref="B49:E49"/>
    <mergeCell ref="B50:E50"/>
    <mergeCell ref="L23:M23"/>
    <mergeCell ref="AB45:AD45"/>
    <mergeCell ref="B35:E35"/>
    <mergeCell ref="F35:I35"/>
    <mergeCell ref="J35:K35"/>
    <mergeCell ref="L35:M35"/>
    <mergeCell ref="V43:W43"/>
    <mergeCell ref="X43:Y43"/>
    <mergeCell ref="Z43:AA43"/>
    <mergeCell ref="AB43:AC43"/>
    <mergeCell ref="B43:E43"/>
    <mergeCell ref="F43:I43"/>
    <mergeCell ref="J43:K43"/>
    <mergeCell ref="L43:M43"/>
    <mergeCell ref="N43:O43"/>
    <mergeCell ref="P43:Q43"/>
    <mergeCell ref="T45:U45"/>
    <mergeCell ref="V45:X45"/>
    <mergeCell ref="Y45:AA45"/>
    <mergeCell ref="F52:G52"/>
    <mergeCell ref="F53:G53"/>
    <mergeCell ref="H46:I46"/>
    <mergeCell ref="H47:I47"/>
    <mergeCell ref="H48:I48"/>
    <mergeCell ref="H49:I49"/>
    <mergeCell ref="H50:I50"/>
    <mergeCell ref="H51:I51"/>
    <mergeCell ref="H52:I52"/>
    <mergeCell ref="H53:I53"/>
    <mergeCell ref="F46:G46"/>
    <mergeCell ref="F47:G47"/>
    <mergeCell ref="F48:G48"/>
    <mergeCell ref="F49:G49"/>
    <mergeCell ref="F50:G50"/>
    <mergeCell ref="F51:G51"/>
    <mergeCell ref="J52:K52"/>
    <mergeCell ref="J53:K53"/>
    <mergeCell ref="L46:M46"/>
    <mergeCell ref="L47:M47"/>
    <mergeCell ref="L48:M48"/>
    <mergeCell ref="L49:M49"/>
    <mergeCell ref="L50:M50"/>
    <mergeCell ref="L51:M51"/>
    <mergeCell ref="L52:M52"/>
    <mergeCell ref="L53:M53"/>
    <mergeCell ref="J46:K46"/>
    <mergeCell ref="J47:K47"/>
    <mergeCell ref="J48:K48"/>
    <mergeCell ref="J49:K49"/>
    <mergeCell ref="J50:K50"/>
    <mergeCell ref="J51:K51"/>
    <mergeCell ref="N52:O52"/>
    <mergeCell ref="N53:O53"/>
    <mergeCell ref="P46:Q46"/>
    <mergeCell ref="P47:Q47"/>
    <mergeCell ref="P48:Q48"/>
    <mergeCell ref="P49:Q49"/>
    <mergeCell ref="P50:Q50"/>
    <mergeCell ref="P51:Q51"/>
    <mergeCell ref="P52:Q52"/>
    <mergeCell ref="P53:Q53"/>
    <mergeCell ref="N46:O46"/>
    <mergeCell ref="N47:O47"/>
    <mergeCell ref="N48:O48"/>
    <mergeCell ref="N49:O49"/>
    <mergeCell ref="N50:O50"/>
    <mergeCell ref="N51:O51"/>
    <mergeCell ref="R52:S52"/>
    <mergeCell ref="R53:S53"/>
    <mergeCell ref="T46:U46"/>
    <mergeCell ref="T47:U47"/>
    <mergeCell ref="T48:U48"/>
    <mergeCell ref="T49:U49"/>
    <mergeCell ref="T50:U50"/>
    <mergeCell ref="T51:U51"/>
    <mergeCell ref="T52:U52"/>
    <mergeCell ref="T53:U53"/>
    <mergeCell ref="R46:S46"/>
    <mergeCell ref="R47:S47"/>
    <mergeCell ref="R48:S48"/>
    <mergeCell ref="R49:S49"/>
    <mergeCell ref="R50:S50"/>
    <mergeCell ref="R51:S51"/>
    <mergeCell ref="V53:X53"/>
    <mergeCell ref="Y46:AA46"/>
    <mergeCell ref="Y47:AA47"/>
    <mergeCell ref="Y48:AA48"/>
    <mergeCell ref="Y49:AA49"/>
    <mergeCell ref="Y50:AA50"/>
    <mergeCell ref="Y51:AA51"/>
    <mergeCell ref="Y52:AA52"/>
    <mergeCell ref="Y53:AA53"/>
    <mergeCell ref="V46:X46"/>
    <mergeCell ref="V47:X47"/>
    <mergeCell ref="V48:X48"/>
    <mergeCell ref="V49:X49"/>
    <mergeCell ref="V50:X50"/>
    <mergeCell ref="V51:X51"/>
    <mergeCell ref="V52:X52"/>
    <mergeCell ref="AB52:AD52"/>
    <mergeCell ref="AB53:AD53"/>
    <mergeCell ref="AE46:AG46"/>
    <mergeCell ref="AE47:AG47"/>
    <mergeCell ref="AE48:AG48"/>
    <mergeCell ref="AE49:AG49"/>
    <mergeCell ref="AE50:AG50"/>
    <mergeCell ref="AE51:AG51"/>
    <mergeCell ref="AE52:AG52"/>
    <mergeCell ref="AE53:AG53"/>
    <mergeCell ref="AB46:AD46"/>
    <mergeCell ref="AB47:AD47"/>
    <mergeCell ref="AB48:AD48"/>
    <mergeCell ref="AB49:AD49"/>
    <mergeCell ref="AB50:AD50"/>
    <mergeCell ref="AB51:AD51"/>
    <mergeCell ref="AQ46:AS46"/>
    <mergeCell ref="AQ47:AS47"/>
    <mergeCell ref="AQ48:AS48"/>
    <mergeCell ref="AQ49:AS49"/>
    <mergeCell ref="AQ50:AS50"/>
    <mergeCell ref="AQ51:AS51"/>
    <mergeCell ref="AQ52:AS52"/>
    <mergeCell ref="AQ53:AS53"/>
    <mergeCell ref="AN46:AP46"/>
    <mergeCell ref="AN47:AP47"/>
    <mergeCell ref="AN48:AP48"/>
    <mergeCell ref="AN49:AP49"/>
    <mergeCell ref="AN50:AP50"/>
    <mergeCell ref="AN51:AP51"/>
    <mergeCell ref="AN52:AP52"/>
    <mergeCell ref="AN53:AP53"/>
    <mergeCell ref="AK46:AM46"/>
    <mergeCell ref="AK47:AM47"/>
    <mergeCell ref="AK48:AM48"/>
    <mergeCell ref="AK49:AM49"/>
    <mergeCell ref="AK50:AM50"/>
    <mergeCell ref="AK51:AM51"/>
    <mergeCell ref="AK52:AM52"/>
    <mergeCell ref="AK53:AM53"/>
    <mergeCell ref="AH46:AJ46"/>
    <mergeCell ref="AH47:AJ47"/>
    <mergeCell ref="AH48:AJ48"/>
    <mergeCell ref="AH49:AJ49"/>
    <mergeCell ref="AH50:AJ50"/>
    <mergeCell ref="AH51:AJ51"/>
    <mergeCell ref="AH52:AJ52"/>
    <mergeCell ref="AH53:AJ53"/>
    <mergeCell ref="B19:E19"/>
    <mergeCell ref="F19:I19"/>
    <mergeCell ref="J19:K19"/>
    <mergeCell ref="L19:M19"/>
    <mergeCell ref="N33:O33"/>
    <mergeCell ref="P33:Q33"/>
    <mergeCell ref="R33:S33"/>
    <mergeCell ref="T33:U33"/>
    <mergeCell ref="V33:W33"/>
    <mergeCell ref="N30:O30"/>
    <mergeCell ref="P30:Q30"/>
    <mergeCell ref="R30:S30"/>
    <mergeCell ref="T30:U30"/>
    <mergeCell ref="V30:W30"/>
    <mergeCell ref="F20:I20"/>
    <mergeCell ref="F21:I21"/>
    <mergeCell ref="F22:I22"/>
    <mergeCell ref="L20:M20"/>
    <mergeCell ref="L21:M21"/>
    <mergeCell ref="L22:M22"/>
    <mergeCell ref="F27:I27"/>
    <mergeCell ref="F23:I23"/>
    <mergeCell ref="F24:I24"/>
    <mergeCell ref="F25:I25"/>
    <mergeCell ref="Z33:AA33"/>
    <mergeCell ref="AB33:AC33"/>
    <mergeCell ref="AD33:AE33"/>
    <mergeCell ref="AF33:AG33"/>
    <mergeCell ref="AH33:AI33"/>
    <mergeCell ref="AJ33:AK33"/>
    <mergeCell ref="AL33:AM33"/>
    <mergeCell ref="AN33:AO33"/>
    <mergeCell ref="AP33:AQ33"/>
  </mergeCells>
  <phoneticPr fontId="1"/>
  <dataValidations count="10">
    <dataValidation type="list" allowBlank="1" showInputMessage="1" showErrorMessage="1" sqref="F2">
      <formula1>戦闘IDリスト</formula1>
    </dataValidation>
    <dataValidation type="list" allowBlank="1" showInputMessage="1" showErrorMessage="1" sqref="C2">
      <formula1>Noリスト</formula1>
    </dataValidation>
    <dataValidation type="list" allowBlank="1" showInputMessage="1" showErrorMessage="1" sqref="AN30:AO30 P30:Q30 AB30:AC30 J36:M43 T30:U30 J20:M27 X30:Y30 AF30:AG30 AJ30:AK30 AR30:AS30 K33:L33 AN14:AO14 P14:Q14 AB14:AC14 T14:U14 X14:Y14 AF14:AG14 AJ14:AK14 AR14:AS14 K17:L17">
      <formula1>有無</formula1>
    </dataValidation>
    <dataValidation type="list" allowBlank="1" showInputMessage="1" showErrorMessage="1" sqref="P33:Q34 T33:U34 X33:Y34 AB33:AC34 AF33:AG34 AJ33:AK34 AN33:AO34 AR33:AS34 P17:Q18 T17:U18 X17:Y18 AB17:AC18 AF17:AG18 AJ17:AK18 AN17:AO18 AR17:AS18">
      <formula1>守備</formula1>
    </dataValidation>
    <dataValidation type="list" allowBlank="1" showInputMessage="1" showErrorMessage="1" sqref="F20:I27">
      <formula1>味方技リスト</formula1>
    </dataValidation>
    <dataValidation type="list" allowBlank="1" showInputMessage="1" showErrorMessage="1" sqref="AR32:AS32 AN32:AO32 AJ32:AK32 AF32:AG32 AB32:AC32 X32:Y32 T32:U32 P32:Q32 AR16:AS16 AN16:AO16 AJ16:AK16 AF16:AG16 AB16:AC16 X16:Y16 T16:U16 P16:Q16">
      <formula1>防御</formula1>
    </dataValidation>
    <dataValidation type="list" allowBlank="1" showInputMessage="1" showErrorMessage="1" sqref="F36:I43">
      <formula1>敵技リスト</formula1>
    </dataValidation>
    <dataValidation type="list" allowBlank="1" showInputMessage="1" showErrorMessage="1" sqref="T29:U29 X29:Y29 AB29:AC29 AF29:AG29 AJ29:AK29 AN29:AO29 AR29:AS29 P29:Q29 K31">
      <formula1>隊列2</formula1>
    </dataValidation>
    <dataValidation type="list" allowBlank="1" showInputMessage="1" showErrorMessage="1" sqref="P31:Q31 T31:U31 X31:Y31 AB31:AC31 AF31:AG31 AJ31:AK31 AN31:AO31 AR31:AS31 P15:Q15 T15:U15 X15:Y15 AB15:AC15 AF15:AG15 AJ15:AK15 AN15:AO15 AR15:AS15">
      <formula1>バリア</formula1>
    </dataValidation>
    <dataValidation type="list" allowBlank="1" showInputMessage="1" showErrorMessage="1" sqref="K15:L15 P13:Q13 T13:U13 X13:Y13 AB13:AC13 AF13:AG13 AJ13:AK13 AN13:AO13 AR13:AS13">
      <formula1>隊列</formula1>
    </dataValidation>
  </dataValidation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4"/>
  <sheetViews>
    <sheetView workbookViewId="0">
      <selection activeCell="J19" sqref="C19:J19"/>
    </sheetView>
  </sheetViews>
  <sheetFormatPr defaultColWidth="5.625" defaultRowHeight="11.25" x14ac:dyDescent="0.15"/>
  <cols>
    <col min="1" max="16384" width="5.625" style="1"/>
  </cols>
  <sheetData>
    <row r="1" spans="1:12" ht="11.25" customHeight="1" x14ac:dyDescent="0.15">
      <c r="A1" s="302" t="s">
        <v>185</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0</v>
      </c>
      <c r="C4" s="8">
        <v>0</v>
      </c>
      <c r="D4" s="8">
        <v>0</v>
      </c>
      <c r="E4" s="8">
        <v>0</v>
      </c>
      <c r="F4" s="8">
        <v>0</v>
      </c>
      <c r="G4" s="8">
        <v>0</v>
      </c>
      <c r="H4" s="8">
        <v>0</v>
      </c>
      <c r="I4" s="8">
        <v>0</v>
      </c>
      <c r="J4" s="8">
        <v>0</v>
      </c>
      <c r="K4" s="12">
        <v>0</v>
      </c>
      <c r="L4" s="113"/>
    </row>
    <row r="5" spans="1:12" x14ac:dyDescent="0.15">
      <c r="A5" s="113"/>
      <c r="B5" s="13">
        <v>0</v>
      </c>
      <c r="C5" s="9">
        <v>0</v>
      </c>
      <c r="D5" s="9">
        <v>0</v>
      </c>
      <c r="E5" s="9">
        <v>0</v>
      </c>
      <c r="F5" s="9">
        <v>0</v>
      </c>
      <c r="G5" s="9">
        <v>0</v>
      </c>
      <c r="H5" s="9">
        <v>0</v>
      </c>
      <c r="I5" s="9">
        <v>0</v>
      </c>
      <c r="J5" s="9">
        <v>0</v>
      </c>
      <c r="K5" s="14">
        <v>0</v>
      </c>
      <c r="L5" s="113"/>
    </row>
    <row r="6" spans="1:12" x14ac:dyDescent="0.15">
      <c r="A6" s="3"/>
      <c r="B6" s="13">
        <v>3</v>
      </c>
      <c r="C6" s="9">
        <v>42</v>
      </c>
      <c r="D6" s="9">
        <v>0</v>
      </c>
      <c r="E6" s="9">
        <v>20</v>
      </c>
      <c r="F6" s="9">
        <v>12</v>
      </c>
      <c r="G6" s="9">
        <v>5</v>
      </c>
      <c r="H6" s="9">
        <v>4</v>
      </c>
      <c r="I6" s="9">
        <v>4</v>
      </c>
      <c r="J6" s="9">
        <v>10</v>
      </c>
      <c r="K6" s="14">
        <v>35</v>
      </c>
      <c r="L6" s="3"/>
    </row>
    <row r="7" spans="1:12" x14ac:dyDescent="0.15">
      <c r="A7" s="3"/>
      <c r="B7" s="13">
        <v>4</v>
      </c>
      <c r="C7" s="9">
        <v>48</v>
      </c>
      <c r="D7" s="9">
        <v>0</v>
      </c>
      <c r="E7" s="9">
        <v>22</v>
      </c>
      <c r="F7" s="9">
        <v>13</v>
      </c>
      <c r="G7" s="9">
        <v>6</v>
      </c>
      <c r="H7" s="9">
        <v>5</v>
      </c>
      <c r="I7" s="9">
        <v>4</v>
      </c>
      <c r="J7" s="9">
        <v>45</v>
      </c>
      <c r="K7" s="14">
        <v>155</v>
      </c>
      <c r="L7" s="3"/>
    </row>
    <row r="8" spans="1:12" x14ac:dyDescent="0.15">
      <c r="A8" s="3"/>
      <c r="B8" s="13">
        <v>5</v>
      </c>
      <c r="C8" s="9">
        <v>55</v>
      </c>
      <c r="D8" s="9">
        <v>0</v>
      </c>
      <c r="E8" s="9">
        <v>25</v>
      </c>
      <c r="F8" s="9">
        <v>15</v>
      </c>
      <c r="G8" s="9">
        <v>8</v>
      </c>
      <c r="H8" s="9">
        <v>7</v>
      </c>
      <c r="I8" s="9">
        <v>4</v>
      </c>
      <c r="J8" s="9">
        <v>200</v>
      </c>
      <c r="K8" s="14">
        <v>213</v>
      </c>
      <c r="L8" s="3"/>
    </row>
    <row r="9" spans="1:12" x14ac:dyDescent="0.15">
      <c r="A9" s="3"/>
      <c r="B9" s="13">
        <v>6</v>
      </c>
      <c r="C9" s="9">
        <v>60</v>
      </c>
      <c r="D9" s="9">
        <v>0</v>
      </c>
      <c r="E9" s="9">
        <v>28</v>
      </c>
      <c r="F9" s="9">
        <v>16</v>
      </c>
      <c r="G9" s="9">
        <v>9</v>
      </c>
      <c r="H9" s="9">
        <v>8</v>
      </c>
      <c r="I9" s="9">
        <v>4</v>
      </c>
      <c r="J9" s="9">
        <v>413</v>
      </c>
      <c r="K9" s="14">
        <v>292</v>
      </c>
      <c r="L9" s="3"/>
    </row>
    <row r="10" spans="1:12" x14ac:dyDescent="0.15">
      <c r="A10" s="3"/>
      <c r="B10" s="13">
        <v>7</v>
      </c>
      <c r="C10" s="9">
        <v>65</v>
      </c>
      <c r="D10" s="9">
        <v>0</v>
      </c>
      <c r="E10" s="9">
        <v>32</v>
      </c>
      <c r="F10" s="9">
        <v>17</v>
      </c>
      <c r="G10" s="9">
        <v>10</v>
      </c>
      <c r="H10" s="9">
        <v>9</v>
      </c>
      <c r="I10" s="9">
        <v>5</v>
      </c>
      <c r="J10" s="9">
        <v>705</v>
      </c>
      <c r="K10" s="14">
        <v>401</v>
      </c>
      <c r="L10" s="3"/>
    </row>
    <row r="11" spans="1:12" x14ac:dyDescent="0.15">
      <c r="A11" s="3"/>
      <c r="B11" s="13">
        <v>8</v>
      </c>
      <c r="C11" s="9">
        <v>71</v>
      </c>
      <c r="D11" s="9">
        <v>0</v>
      </c>
      <c r="E11" s="9">
        <v>35</v>
      </c>
      <c r="F11" s="9">
        <v>18</v>
      </c>
      <c r="G11" s="9">
        <v>12</v>
      </c>
      <c r="H11" s="9">
        <v>10</v>
      </c>
      <c r="I11" s="9">
        <v>5</v>
      </c>
      <c r="J11" s="9">
        <v>1106</v>
      </c>
      <c r="K11" s="14">
        <v>551</v>
      </c>
      <c r="L11" s="3"/>
    </row>
    <row r="12" spans="1:12" x14ac:dyDescent="0.15">
      <c r="A12" s="3"/>
      <c r="B12" s="13">
        <v>9</v>
      </c>
      <c r="C12" s="9">
        <v>76</v>
      </c>
      <c r="D12" s="9">
        <v>0</v>
      </c>
      <c r="E12" s="9">
        <v>39</v>
      </c>
      <c r="F12" s="9">
        <v>19</v>
      </c>
      <c r="G12" s="9">
        <v>13</v>
      </c>
      <c r="H12" s="9">
        <v>11</v>
      </c>
      <c r="I12" s="9">
        <v>6</v>
      </c>
      <c r="J12" s="9">
        <v>1657</v>
      </c>
      <c r="K12" s="14">
        <v>757</v>
      </c>
      <c r="L12" s="3"/>
    </row>
    <row r="13" spans="1:12" x14ac:dyDescent="0.15">
      <c r="A13" s="3"/>
      <c r="B13" s="13">
        <v>10</v>
      </c>
      <c r="C13" s="9">
        <v>82</v>
      </c>
      <c r="D13" s="9">
        <v>0</v>
      </c>
      <c r="E13" s="9">
        <v>43</v>
      </c>
      <c r="F13" s="9">
        <v>21</v>
      </c>
      <c r="G13" s="9">
        <v>15</v>
      </c>
      <c r="H13" s="9">
        <v>12</v>
      </c>
      <c r="I13" s="9">
        <v>7</v>
      </c>
      <c r="J13" s="9">
        <v>2414</v>
      </c>
      <c r="K13" s="14">
        <v>1088</v>
      </c>
      <c r="L13" s="3"/>
    </row>
    <row r="14" spans="1:12" x14ac:dyDescent="0.15">
      <c r="A14" s="3"/>
      <c r="B14" s="13">
        <v>11</v>
      </c>
      <c r="C14" s="9">
        <v>91</v>
      </c>
      <c r="D14" s="9">
        <v>4</v>
      </c>
      <c r="E14" s="9">
        <v>45</v>
      </c>
      <c r="F14" s="9">
        <v>23</v>
      </c>
      <c r="G14" s="9">
        <v>17</v>
      </c>
      <c r="H14" s="9">
        <v>12</v>
      </c>
      <c r="I14" s="9">
        <v>7</v>
      </c>
      <c r="J14" s="9">
        <v>3502</v>
      </c>
      <c r="K14" s="14">
        <v>1564</v>
      </c>
      <c r="L14" s="3"/>
    </row>
    <row r="15" spans="1:12" x14ac:dyDescent="0.15">
      <c r="A15" s="3"/>
      <c r="B15" s="13">
        <v>12</v>
      </c>
      <c r="C15" s="9">
        <v>101</v>
      </c>
      <c r="D15" s="9">
        <v>8</v>
      </c>
      <c r="E15" s="9">
        <v>47</v>
      </c>
      <c r="F15" s="9">
        <v>25</v>
      </c>
      <c r="G15" s="9">
        <v>19</v>
      </c>
      <c r="H15" s="9">
        <v>13</v>
      </c>
      <c r="I15" s="9">
        <v>8</v>
      </c>
      <c r="J15" s="9">
        <v>5066</v>
      </c>
      <c r="K15" s="14">
        <v>2248</v>
      </c>
      <c r="L15" s="3"/>
    </row>
    <row r="16" spans="1:12" x14ac:dyDescent="0.15">
      <c r="A16" s="3"/>
      <c r="B16" s="13">
        <v>13</v>
      </c>
      <c r="C16" s="9">
        <v>110</v>
      </c>
      <c r="D16" s="9">
        <v>12</v>
      </c>
      <c r="E16" s="9">
        <v>50</v>
      </c>
      <c r="F16" s="9">
        <v>28</v>
      </c>
      <c r="G16" s="9">
        <v>22</v>
      </c>
      <c r="H16" s="9">
        <v>13</v>
      </c>
      <c r="I16" s="9">
        <v>8</v>
      </c>
      <c r="J16" s="9">
        <v>7314</v>
      </c>
      <c r="K16" s="14">
        <v>3231</v>
      </c>
      <c r="L16" s="3"/>
    </row>
    <row r="17" spans="1:12" x14ac:dyDescent="0.15">
      <c r="A17" s="3"/>
      <c r="B17" s="13">
        <v>14</v>
      </c>
      <c r="C17" s="9">
        <v>120</v>
      </c>
      <c r="D17" s="9">
        <v>16</v>
      </c>
      <c r="E17" s="9">
        <v>52</v>
      </c>
      <c r="F17" s="9">
        <v>30</v>
      </c>
      <c r="G17" s="9">
        <v>24</v>
      </c>
      <c r="H17" s="9">
        <v>14</v>
      </c>
      <c r="I17" s="9">
        <v>9</v>
      </c>
      <c r="J17" s="9">
        <v>10545</v>
      </c>
      <c r="K17" s="14">
        <v>4644</v>
      </c>
      <c r="L17" s="3"/>
    </row>
    <row r="18" spans="1:12" x14ac:dyDescent="0.15">
      <c r="A18" s="3"/>
      <c r="B18" s="13">
        <v>15</v>
      </c>
      <c r="C18" s="9">
        <v>130</v>
      </c>
      <c r="D18" s="9">
        <v>20</v>
      </c>
      <c r="E18" s="9">
        <v>55</v>
      </c>
      <c r="F18" s="9">
        <v>33</v>
      </c>
      <c r="G18" s="9">
        <v>27</v>
      </c>
      <c r="H18" s="9">
        <v>15</v>
      </c>
      <c r="I18" s="9">
        <v>10</v>
      </c>
      <c r="J18" s="9">
        <v>15189</v>
      </c>
      <c r="K18" s="14">
        <v>4789</v>
      </c>
      <c r="L18" s="3"/>
    </row>
    <row r="19" spans="1:12" x14ac:dyDescent="0.15">
      <c r="A19" s="3"/>
      <c r="B19" s="13">
        <v>16</v>
      </c>
      <c r="C19" s="9">
        <v>139</v>
      </c>
      <c r="D19" s="9">
        <v>27</v>
      </c>
      <c r="E19" s="9">
        <v>60</v>
      </c>
      <c r="F19" s="9">
        <v>36</v>
      </c>
      <c r="G19" s="9">
        <v>32</v>
      </c>
      <c r="H19" s="9">
        <v>17</v>
      </c>
      <c r="I19" s="9">
        <v>12</v>
      </c>
      <c r="J19" s="9">
        <v>19978</v>
      </c>
      <c r="K19" s="14">
        <v>4938</v>
      </c>
      <c r="L19" s="3"/>
    </row>
    <row r="20" spans="1:12" x14ac:dyDescent="0.15">
      <c r="A20" s="3"/>
      <c r="B20" s="13">
        <v>17</v>
      </c>
      <c r="C20" s="9">
        <v>148</v>
      </c>
      <c r="D20" s="9">
        <v>34</v>
      </c>
      <c r="E20" s="9">
        <v>66</v>
      </c>
      <c r="F20" s="9">
        <v>39</v>
      </c>
      <c r="G20" s="9">
        <v>38</v>
      </c>
      <c r="H20" s="9">
        <v>20</v>
      </c>
      <c r="I20" s="9">
        <v>14</v>
      </c>
      <c r="J20" s="9">
        <v>24916</v>
      </c>
      <c r="K20" s="14">
        <v>5092</v>
      </c>
      <c r="L20" s="3"/>
    </row>
    <row r="21" spans="1:12" x14ac:dyDescent="0.15">
      <c r="A21" s="3"/>
      <c r="B21" s="13">
        <v>18</v>
      </c>
      <c r="C21" s="9">
        <v>157</v>
      </c>
      <c r="D21" s="9">
        <v>41</v>
      </c>
      <c r="E21" s="9">
        <v>71</v>
      </c>
      <c r="F21" s="9">
        <v>42</v>
      </c>
      <c r="G21" s="9">
        <v>43</v>
      </c>
      <c r="H21" s="9">
        <v>22</v>
      </c>
      <c r="I21" s="9">
        <v>16</v>
      </c>
      <c r="J21" s="9">
        <v>30008</v>
      </c>
      <c r="K21" s="14">
        <v>5251</v>
      </c>
      <c r="L21" s="3"/>
    </row>
    <row r="22" spans="1:12" x14ac:dyDescent="0.15">
      <c r="A22" s="3"/>
      <c r="B22" s="13">
        <v>19</v>
      </c>
      <c r="C22" s="9">
        <v>166</v>
      </c>
      <c r="D22" s="9">
        <v>48</v>
      </c>
      <c r="E22" s="9">
        <v>77</v>
      </c>
      <c r="F22" s="9">
        <v>45</v>
      </c>
      <c r="G22" s="9">
        <v>49</v>
      </c>
      <c r="H22" s="9">
        <v>25</v>
      </c>
      <c r="I22" s="9">
        <v>18</v>
      </c>
      <c r="J22" s="9">
        <v>35259</v>
      </c>
      <c r="K22" s="14">
        <v>5415</v>
      </c>
      <c r="L22" s="3"/>
    </row>
    <row r="23" spans="1:12" x14ac:dyDescent="0.15">
      <c r="A23" s="3"/>
      <c r="B23" s="13">
        <v>20</v>
      </c>
      <c r="C23" s="9">
        <v>175</v>
      </c>
      <c r="D23" s="9">
        <v>56</v>
      </c>
      <c r="E23" s="9">
        <v>83</v>
      </c>
      <c r="F23" s="9">
        <v>48</v>
      </c>
      <c r="G23" s="9">
        <v>55</v>
      </c>
      <c r="H23" s="9">
        <v>28</v>
      </c>
      <c r="I23" s="9">
        <v>20</v>
      </c>
      <c r="J23" s="9">
        <v>40674</v>
      </c>
      <c r="K23" s="14">
        <v>6261</v>
      </c>
      <c r="L23" s="3"/>
    </row>
    <row r="24" spans="1:12" x14ac:dyDescent="0.15">
      <c r="A24" s="3"/>
      <c r="B24" s="13">
        <v>21</v>
      </c>
      <c r="C24" s="9">
        <v>182</v>
      </c>
      <c r="D24" s="9">
        <v>57</v>
      </c>
      <c r="E24" s="9">
        <v>86</v>
      </c>
      <c r="F24" s="9">
        <v>49</v>
      </c>
      <c r="G24" s="9">
        <v>56</v>
      </c>
      <c r="H24" s="9">
        <v>28</v>
      </c>
      <c r="I24" s="9">
        <v>20</v>
      </c>
      <c r="J24" s="9">
        <v>46935</v>
      </c>
      <c r="K24" s="14">
        <v>7239</v>
      </c>
      <c r="L24" s="3"/>
    </row>
    <row r="25" spans="1:12" x14ac:dyDescent="0.15">
      <c r="A25" s="3"/>
      <c r="B25" s="13">
        <v>22</v>
      </c>
      <c r="C25" s="9">
        <v>190</v>
      </c>
      <c r="D25" s="9">
        <v>59</v>
      </c>
      <c r="E25" s="9">
        <v>90</v>
      </c>
      <c r="F25" s="9">
        <v>50</v>
      </c>
      <c r="G25" s="9">
        <v>57</v>
      </c>
      <c r="H25" s="9">
        <v>29</v>
      </c>
      <c r="I25" s="9">
        <v>21</v>
      </c>
      <c r="J25" s="9">
        <v>54174</v>
      </c>
      <c r="K25" s="14">
        <v>8370</v>
      </c>
      <c r="L25" s="3"/>
    </row>
    <row r="26" spans="1:12" x14ac:dyDescent="0.15">
      <c r="A26" s="3"/>
      <c r="B26" s="13">
        <v>23</v>
      </c>
      <c r="C26" s="9">
        <v>197</v>
      </c>
      <c r="D26" s="9">
        <v>60</v>
      </c>
      <c r="E26" s="9">
        <v>94</v>
      </c>
      <c r="F26" s="9">
        <v>52</v>
      </c>
      <c r="G26" s="9">
        <v>58</v>
      </c>
      <c r="H26" s="9">
        <v>30</v>
      </c>
      <c r="I26" s="9">
        <v>21</v>
      </c>
      <c r="J26" s="9">
        <v>62544</v>
      </c>
      <c r="K26" s="14">
        <v>9677</v>
      </c>
      <c r="L26" s="3"/>
    </row>
    <row r="27" spans="1:12" x14ac:dyDescent="0.15">
      <c r="A27" s="3"/>
      <c r="B27" s="13">
        <v>24</v>
      </c>
      <c r="C27" s="9">
        <v>205</v>
      </c>
      <c r="D27" s="9">
        <v>62</v>
      </c>
      <c r="E27" s="9">
        <v>97</v>
      </c>
      <c r="F27" s="9">
        <v>53</v>
      </c>
      <c r="G27" s="9">
        <v>60</v>
      </c>
      <c r="H27" s="9">
        <v>30</v>
      </c>
      <c r="I27" s="9">
        <v>22</v>
      </c>
      <c r="J27" s="9">
        <v>72221</v>
      </c>
      <c r="K27" s="14">
        <v>11189</v>
      </c>
      <c r="L27" s="3"/>
    </row>
    <row r="28" spans="1:12" x14ac:dyDescent="0.15">
      <c r="A28" s="3"/>
      <c r="B28" s="13">
        <v>25</v>
      </c>
      <c r="C28" s="9">
        <v>212</v>
      </c>
      <c r="D28" s="9">
        <v>64</v>
      </c>
      <c r="E28" s="9">
        <v>101</v>
      </c>
      <c r="F28" s="9">
        <v>55</v>
      </c>
      <c r="G28" s="9">
        <v>61</v>
      </c>
      <c r="H28" s="9">
        <v>31</v>
      </c>
      <c r="I28" s="9">
        <v>22</v>
      </c>
      <c r="J28" s="9">
        <v>83410</v>
      </c>
      <c r="K28" s="14">
        <v>12937</v>
      </c>
      <c r="L28" s="3"/>
    </row>
    <row r="29" spans="1:12" x14ac:dyDescent="0.15">
      <c r="A29" s="3"/>
      <c r="B29" s="13">
        <v>26</v>
      </c>
      <c r="C29" s="9">
        <v>220</v>
      </c>
      <c r="D29" s="9">
        <v>65</v>
      </c>
      <c r="E29" s="9">
        <v>105</v>
      </c>
      <c r="F29" s="9">
        <v>56</v>
      </c>
      <c r="G29" s="9">
        <v>62</v>
      </c>
      <c r="H29" s="9">
        <v>32</v>
      </c>
      <c r="I29" s="9">
        <v>23</v>
      </c>
      <c r="J29" s="9">
        <v>96347</v>
      </c>
      <c r="K29" s="14">
        <v>14958</v>
      </c>
      <c r="L29" s="3"/>
    </row>
    <row r="30" spans="1:12" x14ac:dyDescent="0.15">
      <c r="A30" s="3"/>
      <c r="B30" s="13">
        <v>27</v>
      </c>
      <c r="C30" s="9">
        <v>227</v>
      </c>
      <c r="D30" s="9">
        <v>67</v>
      </c>
      <c r="E30" s="9">
        <v>108</v>
      </c>
      <c r="F30" s="9">
        <v>57</v>
      </c>
      <c r="G30" s="9">
        <v>64</v>
      </c>
      <c r="H30" s="9">
        <v>32</v>
      </c>
      <c r="I30" s="9">
        <v>23</v>
      </c>
      <c r="J30" s="9">
        <v>111305</v>
      </c>
      <c r="K30" s="14">
        <v>17295</v>
      </c>
      <c r="L30" s="3"/>
    </row>
    <row r="31" spans="1:12" x14ac:dyDescent="0.15">
      <c r="A31" s="3"/>
      <c r="B31" s="13">
        <v>28</v>
      </c>
      <c r="C31" s="9">
        <v>235</v>
      </c>
      <c r="D31" s="9">
        <v>68</v>
      </c>
      <c r="E31" s="9">
        <v>112</v>
      </c>
      <c r="F31" s="9">
        <v>59</v>
      </c>
      <c r="G31" s="9">
        <v>65</v>
      </c>
      <c r="H31" s="9">
        <v>33</v>
      </c>
      <c r="I31" s="9">
        <v>24</v>
      </c>
      <c r="J31" s="9">
        <v>128600</v>
      </c>
      <c r="K31" s="14">
        <v>19997</v>
      </c>
      <c r="L31" s="3"/>
    </row>
    <row r="32" spans="1:12" x14ac:dyDescent="0.15">
      <c r="A32" s="3"/>
      <c r="B32" s="13">
        <v>29</v>
      </c>
      <c r="C32" s="9">
        <v>242</v>
      </c>
      <c r="D32" s="9">
        <v>70</v>
      </c>
      <c r="E32" s="9">
        <v>116</v>
      </c>
      <c r="F32" s="9">
        <v>60</v>
      </c>
      <c r="G32" s="9">
        <v>66</v>
      </c>
      <c r="H32" s="9">
        <v>34</v>
      </c>
      <c r="I32" s="9">
        <v>24</v>
      </c>
      <c r="J32" s="9">
        <v>148597</v>
      </c>
      <c r="K32" s="14">
        <v>23121</v>
      </c>
      <c r="L32" s="3"/>
    </row>
    <row r="33" spans="1:12" x14ac:dyDescent="0.15">
      <c r="A33" s="3"/>
      <c r="B33" s="15">
        <v>30</v>
      </c>
      <c r="C33" s="10">
        <v>250</v>
      </c>
      <c r="D33" s="10">
        <v>72</v>
      </c>
      <c r="E33" s="10">
        <v>120</v>
      </c>
      <c r="F33" s="10">
        <v>62</v>
      </c>
      <c r="G33" s="10">
        <v>68</v>
      </c>
      <c r="H33" s="10">
        <v>35</v>
      </c>
      <c r="I33" s="10">
        <v>25</v>
      </c>
      <c r="J33" s="10">
        <v>171718</v>
      </c>
      <c r="K33" s="16">
        <v>26011</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4"/>
  <sheetViews>
    <sheetView workbookViewId="0">
      <selection activeCell="H4" sqref="H4"/>
    </sheetView>
  </sheetViews>
  <sheetFormatPr defaultColWidth="5.625" defaultRowHeight="11.25" x14ac:dyDescent="0.15"/>
  <cols>
    <col min="1" max="16384" width="5.625" style="1"/>
  </cols>
  <sheetData>
    <row r="1" spans="1:12" ht="11.25" customHeight="1" x14ac:dyDescent="0.15">
      <c r="A1" s="302" t="s">
        <v>187</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8">
        <v>0</v>
      </c>
      <c r="L4" s="113"/>
    </row>
    <row r="5" spans="1:12" x14ac:dyDescent="0.15">
      <c r="A5" s="113"/>
      <c r="B5" s="13">
        <v>2</v>
      </c>
      <c r="C5" s="9">
        <v>0</v>
      </c>
      <c r="D5" s="9">
        <v>0</v>
      </c>
      <c r="E5" s="9">
        <v>0</v>
      </c>
      <c r="F5" s="9">
        <v>0</v>
      </c>
      <c r="G5" s="9">
        <v>0</v>
      </c>
      <c r="H5" s="9">
        <v>0</v>
      </c>
      <c r="I5" s="9">
        <v>0</v>
      </c>
      <c r="J5" s="9">
        <v>0</v>
      </c>
      <c r="K5" s="9">
        <v>0</v>
      </c>
      <c r="L5" s="113"/>
    </row>
    <row r="6" spans="1:12" x14ac:dyDescent="0.15">
      <c r="A6" s="113"/>
      <c r="B6" s="13">
        <v>3</v>
      </c>
      <c r="C6" s="9">
        <v>0</v>
      </c>
      <c r="D6" s="9">
        <v>0</v>
      </c>
      <c r="E6" s="9">
        <v>0</v>
      </c>
      <c r="F6" s="9">
        <v>0</v>
      </c>
      <c r="G6" s="9">
        <v>0</v>
      </c>
      <c r="H6" s="9">
        <v>0</v>
      </c>
      <c r="I6" s="9">
        <v>0</v>
      </c>
      <c r="J6" s="9">
        <v>0</v>
      </c>
      <c r="K6" s="9">
        <v>0</v>
      </c>
      <c r="L6" s="113"/>
    </row>
    <row r="7" spans="1:12" x14ac:dyDescent="0.15">
      <c r="A7" s="113"/>
      <c r="B7" s="13">
        <v>4</v>
      </c>
      <c r="C7" s="9">
        <v>0</v>
      </c>
      <c r="D7" s="9">
        <v>0</v>
      </c>
      <c r="E7" s="9">
        <v>0</v>
      </c>
      <c r="F7" s="9">
        <v>0</v>
      </c>
      <c r="G7" s="9">
        <v>0</v>
      </c>
      <c r="H7" s="9">
        <v>0</v>
      </c>
      <c r="I7" s="9">
        <v>0</v>
      </c>
      <c r="J7" s="9">
        <v>0</v>
      </c>
      <c r="K7" s="9">
        <v>0</v>
      </c>
      <c r="L7" s="113"/>
    </row>
    <row r="8" spans="1:12" x14ac:dyDescent="0.15">
      <c r="A8" s="3"/>
      <c r="B8" s="13">
        <v>5</v>
      </c>
      <c r="C8" s="9">
        <v>63</v>
      </c>
      <c r="D8" s="9">
        <v>50</v>
      </c>
      <c r="E8" s="9">
        <v>12</v>
      </c>
      <c r="F8" s="9">
        <v>25</v>
      </c>
      <c r="G8" s="9">
        <v>35</v>
      </c>
      <c r="H8" s="9">
        <v>45</v>
      </c>
      <c r="I8" s="9">
        <v>40</v>
      </c>
      <c r="J8" s="9">
        <v>354</v>
      </c>
      <c r="K8" s="14">
        <v>215</v>
      </c>
      <c r="L8" s="3"/>
    </row>
    <row r="9" spans="1:12" x14ac:dyDescent="0.15">
      <c r="A9" s="3"/>
      <c r="B9" s="13">
        <v>6</v>
      </c>
      <c r="C9" s="9">
        <v>66</v>
      </c>
      <c r="D9" s="9">
        <v>51</v>
      </c>
      <c r="E9" s="9">
        <v>13</v>
      </c>
      <c r="F9" s="9">
        <v>26</v>
      </c>
      <c r="G9" s="9">
        <v>35</v>
      </c>
      <c r="H9" s="9">
        <v>46</v>
      </c>
      <c r="I9" s="9">
        <v>40</v>
      </c>
      <c r="J9" s="9">
        <v>569</v>
      </c>
      <c r="K9" s="14">
        <v>309</v>
      </c>
      <c r="L9" s="3"/>
    </row>
    <row r="10" spans="1:12" x14ac:dyDescent="0.15">
      <c r="A10" s="3"/>
      <c r="B10" s="13">
        <v>7</v>
      </c>
      <c r="C10" s="9">
        <v>70</v>
      </c>
      <c r="D10" s="9">
        <v>53</v>
      </c>
      <c r="E10" s="9">
        <v>15</v>
      </c>
      <c r="F10" s="9">
        <v>27</v>
      </c>
      <c r="G10" s="9">
        <v>36</v>
      </c>
      <c r="H10" s="9">
        <v>47</v>
      </c>
      <c r="I10" s="9">
        <v>40</v>
      </c>
      <c r="J10" s="9">
        <v>878</v>
      </c>
      <c r="K10" s="14">
        <v>444</v>
      </c>
      <c r="L10" s="3"/>
    </row>
    <row r="11" spans="1:12" x14ac:dyDescent="0.15">
      <c r="A11" s="3"/>
      <c r="B11" s="13">
        <v>8</v>
      </c>
      <c r="C11" s="9">
        <v>74</v>
      </c>
      <c r="D11" s="9">
        <v>54</v>
      </c>
      <c r="E11" s="9">
        <v>17</v>
      </c>
      <c r="F11" s="9">
        <v>28</v>
      </c>
      <c r="G11" s="9">
        <v>36</v>
      </c>
      <c r="H11" s="9">
        <v>48</v>
      </c>
      <c r="I11" s="9">
        <v>40</v>
      </c>
      <c r="J11" s="9">
        <v>1322</v>
      </c>
      <c r="K11" s="14">
        <v>638</v>
      </c>
      <c r="L11" s="3"/>
    </row>
    <row r="12" spans="1:12" x14ac:dyDescent="0.15">
      <c r="A12" s="3"/>
      <c r="B12" s="13">
        <v>9</v>
      </c>
      <c r="C12" s="9">
        <v>77</v>
      </c>
      <c r="D12" s="9">
        <v>56</v>
      </c>
      <c r="E12" s="9">
        <v>19</v>
      </c>
      <c r="F12" s="9">
        <v>30</v>
      </c>
      <c r="G12" s="9">
        <v>37</v>
      </c>
      <c r="H12" s="9">
        <v>49</v>
      </c>
      <c r="I12" s="9">
        <v>40</v>
      </c>
      <c r="J12" s="9">
        <v>1960</v>
      </c>
      <c r="K12" s="14">
        <v>917</v>
      </c>
      <c r="L12" s="3"/>
    </row>
    <row r="13" spans="1:12" x14ac:dyDescent="0.15">
      <c r="A13" s="3"/>
      <c r="B13" s="13">
        <v>10</v>
      </c>
      <c r="C13" s="9">
        <v>81</v>
      </c>
      <c r="D13" s="9">
        <v>57</v>
      </c>
      <c r="E13" s="9">
        <v>21</v>
      </c>
      <c r="F13" s="9">
        <v>31</v>
      </c>
      <c r="G13" s="9">
        <v>37</v>
      </c>
      <c r="H13" s="9">
        <v>50</v>
      </c>
      <c r="I13" s="9">
        <v>40</v>
      </c>
      <c r="J13" s="9">
        <v>2877</v>
      </c>
      <c r="K13" s="14">
        <v>1318</v>
      </c>
      <c r="L13" s="3"/>
    </row>
    <row r="14" spans="1:12" x14ac:dyDescent="0.15">
      <c r="A14" s="3"/>
      <c r="B14" s="13">
        <v>11</v>
      </c>
      <c r="C14" s="9">
        <v>85</v>
      </c>
      <c r="D14" s="9">
        <v>59</v>
      </c>
      <c r="E14" s="9">
        <v>23</v>
      </c>
      <c r="F14" s="9">
        <v>32</v>
      </c>
      <c r="G14" s="9">
        <v>38</v>
      </c>
      <c r="H14" s="9">
        <v>51</v>
      </c>
      <c r="I14" s="9">
        <v>40</v>
      </c>
      <c r="J14" s="9">
        <v>4195</v>
      </c>
      <c r="K14" s="14">
        <v>1894</v>
      </c>
      <c r="L14" s="3"/>
    </row>
    <row r="15" spans="1:12" x14ac:dyDescent="0.15">
      <c r="A15" s="3"/>
      <c r="B15" s="13">
        <v>12</v>
      </c>
      <c r="C15" s="9">
        <v>88</v>
      </c>
      <c r="D15" s="9">
        <v>60</v>
      </c>
      <c r="E15" s="9">
        <v>25</v>
      </c>
      <c r="F15" s="9">
        <v>34</v>
      </c>
      <c r="G15" s="9">
        <v>38</v>
      </c>
      <c r="H15" s="9">
        <v>52</v>
      </c>
      <c r="I15" s="9">
        <v>40</v>
      </c>
      <c r="J15" s="9">
        <v>6089</v>
      </c>
      <c r="K15" s="14">
        <v>2722</v>
      </c>
      <c r="L15" s="3"/>
    </row>
    <row r="16" spans="1:12" x14ac:dyDescent="0.15">
      <c r="A16" s="3"/>
      <c r="B16" s="13">
        <v>13</v>
      </c>
      <c r="C16" s="9">
        <v>92</v>
      </c>
      <c r="D16" s="9">
        <v>62</v>
      </c>
      <c r="E16" s="9">
        <v>27</v>
      </c>
      <c r="F16" s="9">
        <v>35</v>
      </c>
      <c r="G16" s="9">
        <v>39</v>
      </c>
      <c r="H16" s="9">
        <v>53</v>
      </c>
      <c r="I16" s="9">
        <v>40</v>
      </c>
      <c r="J16" s="9">
        <v>8811</v>
      </c>
      <c r="K16" s="14">
        <v>3912</v>
      </c>
      <c r="L16" s="3"/>
    </row>
    <row r="17" spans="1:12" x14ac:dyDescent="0.15">
      <c r="A17" s="3"/>
      <c r="B17" s="13">
        <v>14</v>
      </c>
      <c r="C17" s="9">
        <v>96</v>
      </c>
      <c r="D17" s="9">
        <v>63</v>
      </c>
      <c r="E17" s="9">
        <v>29</v>
      </c>
      <c r="F17" s="9">
        <v>36</v>
      </c>
      <c r="G17" s="9">
        <v>39</v>
      </c>
      <c r="H17" s="9">
        <v>54</v>
      </c>
      <c r="I17" s="9">
        <v>40</v>
      </c>
      <c r="J17" s="9">
        <v>12723</v>
      </c>
      <c r="K17" s="14">
        <v>5623</v>
      </c>
      <c r="L17" s="3"/>
    </row>
    <row r="18" spans="1:12" x14ac:dyDescent="0.15">
      <c r="A18" s="3"/>
      <c r="B18" s="13">
        <v>15</v>
      </c>
      <c r="C18" s="9">
        <v>100</v>
      </c>
      <c r="D18" s="9">
        <v>65</v>
      </c>
      <c r="E18" s="9">
        <v>31</v>
      </c>
      <c r="F18" s="9">
        <v>38</v>
      </c>
      <c r="G18" s="9">
        <v>40</v>
      </c>
      <c r="H18" s="9">
        <v>55</v>
      </c>
      <c r="I18" s="9">
        <v>40</v>
      </c>
      <c r="J18" s="9">
        <v>18346</v>
      </c>
      <c r="K18" s="14">
        <v>5974</v>
      </c>
      <c r="L18" s="3"/>
    </row>
    <row r="19" spans="1:12" x14ac:dyDescent="0.15">
      <c r="A19" s="3"/>
      <c r="B19" s="13">
        <v>16</v>
      </c>
      <c r="C19" s="9">
        <v>106</v>
      </c>
      <c r="D19" s="9">
        <v>71</v>
      </c>
      <c r="E19" s="9">
        <v>33</v>
      </c>
      <c r="F19" s="9">
        <v>39</v>
      </c>
      <c r="G19" s="9">
        <v>47</v>
      </c>
      <c r="H19" s="9">
        <v>59</v>
      </c>
      <c r="I19" s="9">
        <v>40</v>
      </c>
      <c r="J19" s="9">
        <v>24320</v>
      </c>
      <c r="K19" s="14">
        <v>6347</v>
      </c>
      <c r="L19" s="3"/>
    </row>
    <row r="20" spans="1:12" x14ac:dyDescent="0.15">
      <c r="A20" s="3"/>
      <c r="B20" s="13">
        <v>17</v>
      </c>
      <c r="C20" s="9">
        <v>112</v>
      </c>
      <c r="D20" s="9">
        <v>77</v>
      </c>
      <c r="E20" s="9">
        <v>35</v>
      </c>
      <c r="F20" s="9">
        <v>40</v>
      </c>
      <c r="G20" s="9">
        <v>55</v>
      </c>
      <c r="H20" s="9">
        <v>63</v>
      </c>
      <c r="I20" s="9">
        <v>41</v>
      </c>
      <c r="J20" s="9">
        <v>30667</v>
      </c>
      <c r="K20" s="14">
        <v>6743</v>
      </c>
      <c r="L20" s="3"/>
    </row>
    <row r="21" spans="1:12" x14ac:dyDescent="0.15">
      <c r="A21" s="3"/>
      <c r="B21" s="13">
        <v>18</v>
      </c>
      <c r="C21" s="9">
        <v>118</v>
      </c>
      <c r="D21" s="9">
        <v>83</v>
      </c>
      <c r="E21" s="9">
        <v>37</v>
      </c>
      <c r="F21" s="9">
        <v>42</v>
      </c>
      <c r="G21" s="9">
        <v>62</v>
      </c>
      <c r="H21" s="9">
        <v>68</v>
      </c>
      <c r="I21" s="9">
        <v>41</v>
      </c>
      <c r="J21" s="9">
        <v>37410</v>
      </c>
      <c r="K21" s="14">
        <v>7164</v>
      </c>
      <c r="L21" s="3"/>
    </row>
    <row r="22" spans="1:12" x14ac:dyDescent="0.15">
      <c r="A22" s="3"/>
      <c r="B22" s="13">
        <v>19</v>
      </c>
      <c r="C22" s="9">
        <v>124</v>
      </c>
      <c r="D22" s="9">
        <v>89</v>
      </c>
      <c r="E22" s="9">
        <v>39</v>
      </c>
      <c r="F22" s="9">
        <v>43</v>
      </c>
      <c r="G22" s="9">
        <v>70</v>
      </c>
      <c r="H22" s="9">
        <v>72</v>
      </c>
      <c r="I22" s="9">
        <v>42</v>
      </c>
      <c r="J22" s="9">
        <v>44574</v>
      </c>
      <c r="K22" s="14">
        <v>7611</v>
      </c>
      <c r="L22" s="3"/>
    </row>
    <row r="23" spans="1:12" x14ac:dyDescent="0.15">
      <c r="A23" s="3"/>
      <c r="B23" s="13">
        <v>20</v>
      </c>
      <c r="C23" s="9">
        <v>130</v>
      </c>
      <c r="D23" s="9">
        <v>95</v>
      </c>
      <c r="E23" s="9">
        <v>42</v>
      </c>
      <c r="F23" s="9">
        <v>45</v>
      </c>
      <c r="G23" s="9">
        <v>78</v>
      </c>
      <c r="H23" s="9">
        <v>77</v>
      </c>
      <c r="I23" s="9">
        <v>43</v>
      </c>
      <c r="J23" s="9">
        <v>52185</v>
      </c>
      <c r="K23" s="14">
        <v>8562</v>
      </c>
      <c r="L23" s="3"/>
    </row>
    <row r="24" spans="1:12" x14ac:dyDescent="0.15">
      <c r="A24" s="3"/>
      <c r="B24" s="13">
        <v>21</v>
      </c>
      <c r="C24" s="9">
        <v>136</v>
      </c>
      <c r="D24" s="9">
        <v>98</v>
      </c>
      <c r="E24" s="9">
        <v>44</v>
      </c>
      <c r="F24" s="9">
        <v>46</v>
      </c>
      <c r="G24" s="9">
        <v>80</v>
      </c>
      <c r="H24" s="9">
        <v>78</v>
      </c>
      <c r="I24" s="9">
        <v>43</v>
      </c>
      <c r="J24" s="9">
        <v>60747</v>
      </c>
      <c r="K24" s="14">
        <v>9632</v>
      </c>
      <c r="L24" s="3"/>
    </row>
    <row r="25" spans="1:12" x14ac:dyDescent="0.15">
      <c r="A25" s="3"/>
      <c r="B25" s="13">
        <v>22</v>
      </c>
      <c r="C25" s="9">
        <v>142</v>
      </c>
      <c r="D25" s="9">
        <v>102</v>
      </c>
      <c r="E25" s="9">
        <v>47</v>
      </c>
      <c r="F25" s="9">
        <v>47</v>
      </c>
      <c r="G25" s="9">
        <v>82</v>
      </c>
      <c r="H25" s="9">
        <v>79</v>
      </c>
      <c r="I25" s="9">
        <v>44</v>
      </c>
      <c r="J25" s="9">
        <v>70379</v>
      </c>
      <c r="K25" s="14">
        <v>10836</v>
      </c>
      <c r="L25" s="3"/>
    </row>
    <row r="26" spans="1:12" x14ac:dyDescent="0.15">
      <c r="A26" s="3"/>
      <c r="B26" s="13">
        <v>23</v>
      </c>
      <c r="C26" s="9">
        <v>148</v>
      </c>
      <c r="D26" s="9">
        <v>105</v>
      </c>
      <c r="E26" s="9">
        <v>49</v>
      </c>
      <c r="F26" s="9">
        <v>48</v>
      </c>
      <c r="G26" s="9">
        <v>84</v>
      </c>
      <c r="H26" s="9">
        <v>80</v>
      </c>
      <c r="I26" s="9">
        <v>44</v>
      </c>
      <c r="J26" s="9">
        <v>81215</v>
      </c>
      <c r="K26" s="14">
        <v>12190</v>
      </c>
      <c r="L26" s="3"/>
    </row>
    <row r="27" spans="1:12" x14ac:dyDescent="0.15">
      <c r="A27" s="3"/>
      <c r="B27" s="13">
        <v>24</v>
      </c>
      <c r="C27" s="9">
        <v>154</v>
      </c>
      <c r="D27" s="9">
        <v>109</v>
      </c>
      <c r="E27" s="9">
        <v>52</v>
      </c>
      <c r="F27" s="9">
        <v>49</v>
      </c>
      <c r="G27" s="9">
        <v>86</v>
      </c>
      <c r="H27" s="9">
        <v>82</v>
      </c>
      <c r="I27" s="9">
        <v>45</v>
      </c>
      <c r="J27" s="9">
        <v>93405</v>
      </c>
      <c r="K27" s="14">
        <v>13713</v>
      </c>
      <c r="L27" s="3"/>
    </row>
    <row r="28" spans="1:12" x14ac:dyDescent="0.15">
      <c r="A28" s="3"/>
      <c r="B28" s="13">
        <v>25</v>
      </c>
      <c r="C28" s="9">
        <v>160</v>
      </c>
      <c r="D28" s="9">
        <v>112</v>
      </c>
      <c r="E28" s="9">
        <v>54</v>
      </c>
      <c r="F28" s="9">
        <v>50</v>
      </c>
      <c r="G28" s="9">
        <v>89</v>
      </c>
      <c r="H28" s="9">
        <v>83</v>
      </c>
      <c r="I28" s="9">
        <v>45</v>
      </c>
      <c r="J28" s="9">
        <v>107118</v>
      </c>
      <c r="K28" s="14">
        <v>15427</v>
      </c>
      <c r="L28" s="3"/>
    </row>
    <row r="29" spans="1:12" x14ac:dyDescent="0.15">
      <c r="A29" s="3"/>
      <c r="B29" s="13">
        <v>26</v>
      </c>
      <c r="C29" s="9">
        <v>166</v>
      </c>
      <c r="D29" s="9">
        <v>116</v>
      </c>
      <c r="E29" s="9">
        <v>57</v>
      </c>
      <c r="F29" s="9">
        <v>51</v>
      </c>
      <c r="G29" s="9">
        <v>91</v>
      </c>
      <c r="H29" s="9">
        <v>84</v>
      </c>
      <c r="I29" s="9">
        <v>46</v>
      </c>
      <c r="J29" s="9">
        <v>122545</v>
      </c>
      <c r="K29" s="14">
        <v>17355</v>
      </c>
      <c r="L29" s="3"/>
    </row>
    <row r="30" spans="1:12" x14ac:dyDescent="0.15">
      <c r="A30" s="3"/>
      <c r="B30" s="13">
        <v>27</v>
      </c>
      <c r="C30" s="9">
        <v>172</v>
      </c>
      <c r="D30" s="9">
        <v>119</v>
      </c>
      <c r="E30" s="9">
        <v>59</v>
      </c>
      <c r="F30" s="9">
        <v>52</v>
      </c>
      <c r="G30" s="9">
        <v>93</v>
      </c>
      <c r="H30" s="9">
        <v>86</v>
      </c>
      <c r="I30" s="9">
        <v>46</v>
      </c>
      <c r="J30" s="9">
        <v>139900</v>
      </c>
      <c r="K30" s="14">
        <v>19524</v>
      </c>
      <c r="L30" s="3"/>
    </row>
    <row r="31" spans="1:12" x14ac:dyDescent="0.15">
      <c r="A31" s="3"/>
      <c r="B31" s="13">
        <v>28</v>
      </c>
      <c r="C31" s="9">
        <v>178</v>
      </c>
      <c r="D31" s="9">
        <v>123</v>
      </c>
      <c r="E31" s="9">
        <v>62</v>
      </c>
      <c r="F31" s="9">
        <v>53</v>
      </c>
      <c r="G31" s="9">
        <v>95</v>
      </c>
      <c r="H31" s="9">
        <v>87</v>
      </c>
      <c r="I31" s="9">
        <v>47</v>
      </c>
      <c r="J31" s="9">
        <v>159424</v>
      </c>
      <c r="K31" s="14">
        <v>21964</v>
      </c>
      <c r="L31" s="3"/>
    </row>
    <row r="32" spans="1:12" x14ac:dyDescent="0.15">
      <c r="A32" s="3"/>
      <c r="B32" s="13">
        <v>29</v>
      </c>
      <c r="C32" s="9">
        <v>184</v>
      </c>
      <c r="D32" s="9">
        <v>126</v>
      </c>
      <c r="E32" s="9">
        <v>64</v>
      </c>
      <c r="F32" s="9">
        <v>54</v>
      </c>
      <c r="G32" s="9">
        <v>97</v>
      </c>
      <c r="H32" s="9">
        <v>88</v>
      </c>
      <c r="I32" s="9">
        <v>47</v>
      </c>
      <c r="J32" s="9">
        <v>181388</v>
      </c>
      <c r="K32" s="14">
        <v>24709</v>
      </c>
      <c r="L32" s="3"/>
    </row>
    <row r="33" spans="1:12" x14ac:dyDescent="0.15">
      <c r="A33" s="3"/>
      <c r="B33" s="15">
        <v>30</v>
      </c>
      <c r="C33" s="10">
        <v>190</v>
      </c>
      <c r="D33" s="10">
        <v>130</v>
      </c>
      <c r="E33" s="10">
        <v>67</v>
      </c>
      <c r="F33" s="10">
        <v>55</v>
      </c>
      <c r="G33" s="10">
        <v>100</v>
      </c>
      <c r="H33" s="10">
        <v>90</v>
      </c>
      <c r="I33" s="10">
        <v>48</v>
      </c>
      <c r="J33" s="10">
        <v>206097</v>
      </c>
      <c r="K33" s="16">
        <v>27797</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workbookViewId="0">
      <selection activeCell="J7" sqref="J7"/>
    </sheetView>
  </sheetViews>
  <sheetFormatPr defaultColWidth="5.625" defaultRowHeight="11.25" x14ac:dyDescent="0.15"/>
  <cols>
    <col min="1" max="16384" width="5.625" style="1"/>
  </cols>
  <sheetData>
    <row r="1" spans="1:12" ht="11.25" customHeight="1" x14ac:dyDescent="0.15">
      <c r="A1" s="302" t="s">
        <v>189</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12">
        <v>0</v>
      </c>
      <c r="L4" s="113"/>
    </row>
    <row r="5" spans="1:12" x14ac:dyDescent="0.15">
      <c r="A5" s="3"/>
      <c r="B5" s="13">
        <v>2</v>
      </c>
      <c r="C5" s="9">
        <v>60</v>
      </c>
      <c r="D5" s="9">
        <v>65</v>
      </c>
      <c r="E5" s="9">
        <v>13</v>
      </c>
      <c r="F5" s="9">
        <v>35</v>
      </c>
      <c r="G5" s="9">
        <v>15</v>
      </c>
      <c r="H5" s="9">
        <v>33</v>
      </c>
      <c r="I5" s="9">
        <v>20</v>
      </c>
      <c r="J5" s="9">
        <v>129</v>
      </c>
      <c r="K5" s="14">
        <v>47</v>
      </c>
      <c r="L5" s="3"/>
    </row>
    <row r="6" spans="1:12" x14ac:dyDescent="0.15">
      <c r="A6" s="3"/>
      <c r="B6" s="13">
        <v>3</v>
      </c>
      <c r="C6" s="9">
        <v>62</v>
      </c>
      <c r="D6" s="9">
        <v>66</v>
      </c>
      <c r="E6" s="9">
        <v>14</v>
      </c>
      <c r="F6" s="9">
        <v>16</v>
      </c>
      <c r="G6" s="9">
        <v>35</v>
      </c>
      <c r="H6" s="9">
        <v>33</v>
      </c>
      <c r="I6" s="9">
        <v>21</v>
      </c>
      <c r="J6" s="9">
        <v>176</v>
      </c>
      <c r="K6" s="14">
        <v>354</v>
      </c>
      <c r="L6" s="3"/>
    </row>
    <row r="7" spans="1:12" x14ac:dyDescent="0.15">
      <c r="A7" s="3"/>
      <c r="B7" s="13">
        <v>4</v>
      </c>
      <c r="C7" s="9">
        <v>64</v>
      </c>
      <c r="D7" s="9">
        <v>67</v>
      </c>
      <c r="E7" s="9">
        <v>14</v>
      </c>
      <c r="F7" s="9">
        <v>17</v>
      </c>
      <c r="G7" s="9">
        <v>35</v>
      </c>
      <c r="H7" s="9">
        <v>33</v>
      </c>
      <c r="I7" s="9">
        <v>21</v>
      </c>
      <c r="J7" s="9">
        <v>530</v>
      </c>
      <c r="K7" s="14">
        <v>973</v>
      </c>
      <c r="L7" s="3"/>
    </row>
    <row r="8" spans="1:12" x14ac:dyDescent="0.15">
      <c r="A8" s="3"/>
      <c r="B8" s="13">
        <v>5</v>
      </c>
      <c r="C8" s="9">
        <v>67</v>
      </c>
      <c r="D8" s="9">
        <v>68</v>
      </c>
      <c r="E8" s="9">
        <v>15</v>
      </c>
      <c r="F8" s="9">
        <v>18</v>
      </c>
      <c r="G8" s="9">
        <v>35</v>
      </c>
      <c r="H8" s="9">
        <v>33</v>
      </c>
      <c r="I8" s="9">
        <v>22</v>
      </c>
      <c r="J8" s="9">
        <v>1503</v>
      </c>
      <c r="K8" s="14">
        <v>1155</v>
      </c>
      <c r="L8" s="3"/>
    </row>
    <row r="9" spans="1:12" x14ac:dyDescent="0.15">
      <c r="A9" s="3"/>
      <c r="B9" s="13">
        <v>6</v>
      </c>
      <c r="C9" s="9">
        <v>69</v>
      </c>
      <c r="D9" s="9">
        <v>70</v>
      </c>
      <c r="E9" s="9">
        <v>15</v>
      </c>
      <c r="F9" s="9">
        <v>18</v>
      </c>
      <c r="G9" s="9">
        <v>35</v>
      </c>
      <c r="H9" s="9">
        <v>34</v>
      </c>
      <c r="I9" s="9">
        <v>22</v>
      </c>
      <c r="J9" s="9">
        <v>2658</v>
      </c>
      <c r="K9" s="14">
        <v>1371</v>
      </c>
      <c r="L9" s="3"/>
    </row>
    <row r="10" spans="1:12" x14ac:dyDescent="0.15">
      <c r="A10" s="3"/>
      <c r="B10" s="13">
        <v>7</v>
      </c>
      <c r="C10" s="9">
        <v>71</v>
      </c>
      <c r="D10" s="9">
        <v>72</v>
      </c>
      <c r="E10" s="9">
        <v>16</v>
      </c>
      <c r="F10" s="9">
        <v>18</v>
      </c>
      <c r="G10" s="9">
        <v>36</v>
      </c>
      <c r="H10" s="9">
        <v>35</v>
      </c>
      <c r="I10" s="9">
        <v>23</v>
      </c>
      <c r="J10" s="9">
        <v>4029</v>
      </c>
      <c r="K10" s="14">
        <v>1628</v>
      </c>
      <c r="L10" s="3"/>
    </row>
    <row r="11" spans="1:12" x14ac:dyDescent="0.15">
      <c r="A11" s="3"/>
      <c r="B11" s="13">
        <v>8</v>
      </c>
      <c r="C11" s="9">
        <v>73</v>
      </c>
      <c r="D11" s="9">
        <v>75</v>
      </c>
      <c r="E11" s="9">
        <v>16</v>
      </c>
      <c r="F11" s="9">
        <v>19</v>
      </c>
      <c r="G11" s="9">
        <v>36</v>
      </c>
      <c r="H11" s="9">
        <v>36</v>
      </c>
      <c r="I11" s="9">
        <v>23</v>
      </c>
      <c r="J11" s="9">
        <v>5657</v>
      </c>
      <c r="K11" s="14">
        <v>1933</v>
      </c>
      <c r="L11" s="3"/>
    </row>
    <row r="12" spans="1:12" x14ac:dyDescent="0.15">
      <c r="A12" s="3"/>
      <c r="B12" s="13">
        <v>9</v>
      </c>
      <c r="C12" s="9">
        <v>75</v>
      </c>
      <c r="D12" s="9">
        <v>77</v>
      </c>
      <c r="E12" s="9">
        <v>17</v>
      </c>
      <c r="F12" s="9">
        <v>19</v>
      </c>
      <c r="G12" s="9">
        <v>37</v>
      </c>
      <c r="H12" s="9">
        <v>37</v>
      </c>
      <c r="I12" s="9">
        <v>24</v>
      </c>
      <c r="J12" s="9">
        <v>7590</v>
      </c>
      <c r="K12" s="14">
        <v>2295</v>
      </c>
      <c r="L12" s="3"/>
    </row>
    <row r="13" spans="1:12" x14ac:dyDescent="0.15">
      <c r="A13" s="3"/>
      <c r="B13" s="13">
        <v>10</v>
      </c>
      <c r="C13" s="9">
        <v>78</v>
      </c>
      <c r="D13" s="9">
        <v>80</v>
      </c>
      <c r="E13" s="9">
        <v>18</v>
      </c>
      <c r="F13" s="9">
        <v>20</v>
      </c>
      <c r="G13" s="9">
        <v>38</v>
      </c>
      <c r="H13" s="9">
        <v>38</v>
      </c>
      <c r="I13" s="9">
        <v>25</v>
      </c>
      <c r="J13" s="9">
        <v>9885</v>
      </c>
      <c r="K13" s="14">
        <v>2940</v>
      </c>
      <c r="L13" s="3"/>
    </row>
    <row r="14" spans="1:12" x14ac:dyDescent="0.15">
      <c r="A14" s="3"/>
      <c r="B14" s="13">
        <v>11</v>
      </c>
      <c r="C14" s="9">
        <v>79</v>
      </c>
      <c r="D14" s="9">
        <v>85</v>
      </c>
      <c r="E14" s="9">
        <v>20</v>
      </c>
      <c r="F14" s="9">
        <v>20</v>
      </c>
      <c r="G14" s="9">
        <v>38</v>
      </c>
      <c r="H14" s="9">
        <v>38</v>
      </c>
      <c r="I14" s="9">
        <v>25</v>
      </c>
      <c r="J14" s="9">
        <v>12825</v>
      </c>
      <c r="K14" s="14">
        <v>3766</v>
      </c>
      <c r="L14" s="3"/>
    </row>
    <row r="15" spans="1:12" x14ac:dyDescent="0.15">
      <c r="A15" s="3"/>
      <c r="B15" s="13">
        <v>12</v>
      </c>
      <c r="C15" s="9">
        <v>80</v>
      </c>
      <c r="D15" s="9">
        <v>90</v>
      </c>
      <c r="E15" s="9">
        <v>22</v>
      </c>
      <c r="F15" s="9">
        <v>21</v>
      </c>
      <c r="G15" s="9">
        <v>38</v>
      </c>
      <c r="H15" s="9">
        <v>38</v>
      </c>
      <c r="I15" s="9">
        <v>26</v>
      </c>
      <c r="J15" s="9">
        <v>16591</v>
      </c>
      <c r="K15" s="14">
        <v>4825</v>
      </c>
      <c r="L15" s="3"/>
    </row>
    <row r="16" spans="1:12" x14ac:dyDescent="0.15">
      <c r="A16" s="3"/>
      <c r="B16" s="13">
        <v>13</v>
      </c>
      <c r="C16" s="9">
        <v>81</v>
      </c>
      <c r="D16" s="9">
        <v>95</v>
      </c>
      <c r="E16" s="9">
        <v>24</v>
      </c>
      <c r="F16" s="9">
        <v>21</v>
      </c>
      <c r="G16" s="9">
        <v>39</v>
      </c>
      <c r="H16" s="9">
        <v>39</v>
      </c>
      <c r="I16" s="9">
        <v>26</v>
      </c>
      <c r="J16" s="9">
        <v>21416</v>
      </c>
      <c r="K16" s="14">
        <v>6182</v>
      </c>
      <c r="L16" s="3"/>
    </row>
    <row r="17" spans="1:12" x14ac:dyDescent="0.15">
      <c r="A17" s="3"/>
      <c r="B17" s="13">
        <v>14</v>
      </c>
      <c r="C17" s="9">
        <v>82</v>
      </c>
      <c r="D17" s="9">
        <v>100</v>
      </c>
      <c r="E17" s="9">
        <v>26</v>
      </c>
      <c r="F17" s="9">
        <v>22</v>
      </c>
      <c r="G17" s="9">
        <v>39</v>
      </c>
      <c r="H17" s="9">
        <v>39</v>
      </c>
      <c r="I17" s="9">
        <v>27</v>
      </c>
      <c r="J17" s="9">
        <v>27598</v>
      </c>
      <c r="K17" s="14">
        <v>7920</v>
      </c>
      <c r="L17" s="3"/>
    </row>
    <row r="18" spans="1:12" x14ac:dyDescent="0.15">
      <c r="A18" s="3"/>
      <c r="B18" s="13">
        <v>15</v>
      </c>
      <c r="C18" s="9">
        <v>83</v>
      </c>
      <c r="D18" s="9">
        <v>105</v>
      </c>
      <c r="E18" s="9">
        <v>28</v>
      </c>
      <c r="F18" s="9">
        <v>23</v>
      </c>
      <c r="G18" s="9">
        <v>40</v>
      </c>
      <c r="H18" s="9">
        <v>40</v>
      </c>
      <c r="I18" s="9">
        <v>28</v>
      </c>
      <c r="J18" s="9">
        <v>35518</v>
      </c>
      <c r="K18" s="14">
        <v>8662</v>
      </c>
      <c r="L18" s="3"/>
    </row>
    <row r="19" spans="1:12" x14ac:dyDescent="0.15">
      <c r="A19" s="3"/>
      <c r="B19" s="13">
        <v>16</v>
      </c>
      <c r="C19" s="9">
        <v>88</v>
      </c>
      <c r="D19" s="9">
        <v>110</v>
      </c>
      <c r="E19" s="9">
        <v>29</v>
      </c>
      <c r="F19" s="9">
        <v>25</v>
      </c>
      <c r="G19" s="9">
        <v>44</v>
      </c>
      <c r="H19" s="9">
        <v>45</v>
      </c>
      <c r="I19" s="9">
        <v>28</v>
      </c>
      <c r="J19" s="9">
        <v>44180</v>
      </c>
      <c r="K19" s="14">
        <v>9474</v>
      </c>
      <c r="L19" s="3"/>
    </row>
    <row r="20" spans="1:12" x14ac:dyDescent="0.15">
      <c r="A20" s="3"/>
      <c r="B20" s="13">
        <v>17</v>
      </c>
      <c r="C20" s="9">
        <v>93</v>
      </c>
      <c r="D20" s="9">
        <v>115</v>
      </c>
      <c r="E20" s="9">
        <v>31</v>
      </c>
      <c r="F20" s="9">
        <v>27</v>
      </c>
      <c r="G20" s="9">
        <v>48</v>
      </c>
      <c r="H20" s="9">
        <v>50</v>
      </c>
      <c r="I20" s="9">
        <v>28</v>
      </c>
      <c r="J20" s="9">
        <v>53654</v>
      </c>
      <c r="K20" s="14">
        <v>10362</v>
      </c>
      <c r="L20" s="3"/>
    </row>
    <row r="21" spans="1:12" x14ac:dyDescent="0.15">
      <c r="A21" s="3"/>
      <c r="B21" s="13">
        <v>18</v>
      </c>
      <c r="C21" s="9">
        <v>99</v>
      </c>
      <c r="D21" s="9">
        <v>120</v>
      </c>
      <c r="E21" s="9">
        <v>33</v>
      </c>
      <c r="F21" s="9">
        <v>30</v>
      </c>
      <c r="G21" s="9">
        <v>53</v>
      </c>
      <c r="H21" s="9">
        <v>55</v>
      </c>
      <c r="I21" s="9">
        <v>29</v>
      </c>
      <c r="J21" s="9">
        <v>64016</v>
      </c>
      <c r="K21" s="14">
        <v>11333</v>
      </c>
      <c r="L21" s="3"/>
    </row>
    <row r="22" spans="1:12" x14ac:dyDescent="0.15">
      <c r="A22" s="3"/>
      <c r="B22" s="13">
        <v>19</v>
      </c>
      <c r="C22" s="9">
        <v>104</v>
      </c>
      <c r="D22" s="9">
        <v>125</v>
      </c>
      <c r="E22" s="9">
        <v>35</v>
      </c>
      <c r="F22" s="9">
        <v>32</v>
      </c>
      <c r="G22" s="9">
        <v>57</v>
      </c>
      <c r="H22" s="9">
        <v>60</v>
      </c>
      <c r="I22" s="9">
        <v>29</v>
      </c>
      <c r="J22" s="9">
        <v>75349</v>
      </c>
      <c r="K22" s="14">
        <v>12395</v>
      </c>
      <c r="L22" s="3"/>
    </row>
    <row r="23" spans="1:12" x14ac:dyDescent="0.15">
      <c r="A23" s="3"/>
      <c r="B23" s="13">
        <v>20</v>
      </c>
      <c r="C23" s="9">
        <v>110</v>
      </c>
      <c r="D23" s="9">
        <v>130</v>
      </c>
      <c r="E23" s="9">
        <v>37</v>
      </c>
      <c r="F23" s="9">
        <v>35</v>
      </c>
      <c r="G23" s="9">
        <v>62</v>
      </c>
      <c r="H23" s="9">
        <v>65</v>
      </c>
      <c r="I23" s="9">
        <v>30</v>
      </c>
      <c r="J23" s="9">
        <v>87744</v>
      </c>
      <c r="K23" s="14">
        <v>13169</v>
      </c>
      <c r="L23" s="3"/>
    </row>
    <row r="24" spans="1:12" x14ac:dyDescent="0.15">
      <c r="A24" s="3"/>
      <c r="B24" s="13">
        <v>21</v>
      </c>
      <c r="C24" s="9">
        <v>115</v>
      </c>
      <c r="D24" s="9">
        <v>134</v>
      </c>
      <c r="E24" s="9">
        <v>39</v>
      </c>
      <c r="F24" s="9">
        <v>35</v>
      </c>
      <c r="G24" s="9">
        <v>63</v>
      </c>
      <c r="H24" s="9">
        <v>67</v>
      </c>
      <c r="I24" s="9">
        <v>30</v>
      </c>
      <c r="J24" s="9">
        <v>100913</v>
      </c>
      <c r="K24" s="14">
        <v>13992</v>
      </c>
      <c r="L24" s="3"/>
    </row>
    <row r="25" spans="1:12" x14ac:dyDescent="0.15">
      <c r="A25" s="3"/>
      <c r="B25" s="13">
        <v>22</v>
      </c>
      <c r="C25" s="9">
        <v>120</v>
      </c>
      <c r="D25" s="9">
        <v>138</v>
      </c>
      <c r="E25" s="9">
        <v>41</v>
      </c>
      <c r="F25" s="9">
        <v>36</v>
      </c>
      <c r="G25" s="9">
        <v>65</v>
      </c>
      <c r="H25" s="9">
        <v>69</v>
      </c>
      <c r="I25" s="9">
        <v>31</v>
      </c>
      <c r="J25" s="9">
        <v>114905</v>
      </c>
      <c r="K25" s="14">
        <v>14866</v>
      </c>
      <c r="L25" s="3"/>
    </row>
    <row r="26" spans="1:12" x14ac:dyDescent="0.15">
      <c r="A26" s="3"/>
      <c r="B26" s="13">
        <v>23</v>
      </c>
      <c r="C26" s="9">
        <v>125</v>
      </c>
      <c r="D26" s="9">
        <v>142</v>
      </c>
      <c r="E26" s="9">
        <v>44</v>
      </c>
      <c r="F26" s="9">
        <v>37</v>
      </c>
      <c r="G26" s="9">
        <v>66</v>
      </c>
      <c r="H26" s="9">
        <v>71</v>
      </c>
      <c r="I26" s="9">
        <v>31</v>
      </c>
      <c r="J26" s="9">
        <v>129771</v>
      </c>
      <c r="K26" s="14">
        <v>15795</v>
      </c>
      <c r="L26" s="3"/>
    </row>
    <row r="27" spans="1:12" x14ac:dyDescent="0.15">
      <c r="A27" s="3"/>
      <c r="B27" s="13">
        <v>24</v>
      </c>
      <c r="C27" s="9">
        <v>130</v>
      </c>
      <c r="D27" s="9">
        <v>146</v>
      </c>
      <c r="E27" s="9">
        <v>46</v>
      </c>
      <c r="F27" s="9">
        <v>37</v>
      </c>
      <c r="G27" s="9">
        <v>68</v>
      </c>
      <c r="H27" s="9">
        <v>73</v>
      </c>
      <c r="I27" s="9">
        <v>32</v>
      </c>
      <c r="J27" s="9">
        <v>145566</v>
      </c>
      <c r="K27" s="14">
        <v>16782</v>
      </c>
      <c r="L27" s="3"/>
    </row>
    <row r="28" spans="1:12" x14ac:dyDescent="0.15">
      <c r="A28" s="3"/>
      <c r="B28" s="13">
        <v>25</v>
      </c>
      <c r="C28" s="9">
        <v>135</v>
      </c>
      <c r="D28" s="9">
        <v>150</v>
      </c>
      <c r="E28" s="9">
        <v>49</v>
      </c>
      <c r="F28" s="9">
        <v>38</v>
      </c>
      <c r="G28" s="9">
        <v>70</v>
      </c>
      <c r="H28" s="9">
        <v>76</v>
      </c>
      <c r="I28" s="9">
        <v>32</v>
      </c>
      <c r="J28" s="9">
        <v>162348</v>
      </c>
      <c r="K28" s="14">
        <v>17830</v>
      </c>
      <c r="L28" s="3"/>
    </row>
    <row r="29" spans="1:12" x14ac:dyDescent="0.15">
      <c r="A29" s="3"/>
      <c r="B29" s="13">
        <v>26</v>
      </c>
      <c r="C29" s="9">
        <v>140</v>
      </c>
      <c r="D29" s="9">
        <v>154</v>
      </c>
      <c r="E29" s="9">
        <v>51</v>
      </c>
      <c r="F29" s="9">
        <v>39</v>
      </c>
      <c r="G29" s="9">
        <v>71</v>
      </c>
      <c r="H29" s="9">
        <v>78</v>
      </c>
      <c r="I29" s="9">
        <v>33</v>
      </c>
      <c r="J29" s="9">
        <v>180178</v>
      </c>
      <c r="K29" s="14">
        <v>18944</v>
      </c>
      <c r="L29" s="3"/>
    </row>
    <row r="30" spans="1:12" x14ac:dyDescent="0.15">
      <c r="A30" s="3"/>
      <c r="B30" s="13">
        <v>27</v>
      </c>
      <c r="C30" s="9">
        <v>145</v>
      </c>
      <c r="D30" s="9">
        <v>158</v>
      </c>
      <c r="E30" s="9">
        <v>53</v>
      </c>
      <c r="F30" s="9">
        <v>39</v>
      </c>
      <c r="G30" s="9">
        <v>73</v>
      </c>
      <c r="H30" s="9">
        <v>80</v>
      </c>
      <c r="I30" s="9">
        <v>33</v>
      </c>
      <c r="J30" s="9">
        <v>199122</v>
      </c>
      <c r="K30" s="14">
        <v>20128</v>
      </c>
      <c r="L30" s="3"/>
    </row>
    <row r="31" spans="1:12" x14ac:dyDescent="0.15">
      <c r="A31" s="3"/>
      <c r="B31" s="13">
        <v>28</v>
      </c>
      <c r="C31" s="9">
        <v>150</v>
      </c>
      <c r="D31" s="9">
        <v>162</v>
      </c>
      <c r="E31" s="9">
        <v>56</v>
      </c>
      <c r="F31" s="9">
        <v>40</v>
      </c>
      <c r="G31" s="9">
        <v>74</v>
      </c>
      <c r="H31" s="9">
        <v>82</v>
      </c>
      <c r="I31" s="9">
        <v>34</v>
      </c>
      <c r="J31" s="9">
        <v>219250</v>
      </c>
      <c r="K31" s="14">
        <v>21386</v>
      </c>
      <c r="L31" s="3"/>
    </row>
    <row r="32" spans="1:12" x14ac:dyDescent="0.15">
      <c r="A32" s="3"/>
      <c r="B32" s="13">
        <v>29</v>
      </c>
      <c r="C32" s="9">
        <v>155</v>
      </c>
      <c r="D32" s="9">
        <v>166</v>
      </c>
      <c r="E32" s="9">
        <v>58</v>
      </c>
      <c r="F32" s="9">
        <v>41</v>
      </c>
      <c r="G32" s="9">
        <v>76</v>
      </c>
      <c r="H32" s="9">
        <v>84</v>
      </c>
      <c r="I32" s="9">
        <v>34</v>
      </c>
      <c r="J32" s="9">
        <v>240636</v>
      </c>
      <c r="K32" s="14">
        <v>22722</v>
      </c>
      <c r="L32" s="3"/>
    </row>
    <row r="33" spans="1:12" x14ac:dyDescent="0.15">
      <c r="A33" s="3"/>
      <c r="B33" s="15">
        <v>30</v>
      </c>
      <c r="C33" s="10">
        <v>160</v>
      </c>
      <c r="D33" s="10">
        <v>170</v>
      </c>
      <c r="E33" s="10">
        <v>61</v>
      </c>
      <c r="F33" s="10">
        <v>42</v>
      </c>
      <c r="G33" s="10">
        <v>78</v>
      </c>
      <c r="H33" s="10">
        <v>87</v>
      </c>
      <c r="I33" s="10">
        <v>35</v>
      </c>
      <c r="J33" s="10">
        <v>263358</v>
      </c>
      <c r="K33" s="16">
        <v>25562</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4"/>
  <sheetViews>
    <sheetView workbookViewId="0">
      <selection activeCell="H4" sqref="H4"/>
    </sheetView>
  </sheetViews>
  <sheetFormatPr defaultColWidth="5.625" defaultRowHeight="11.25" x14ac:dyDescent="0.15"/>
  <cols>
    <col min="1" max="16384" width="5.625" style="1"/>
  </cols>
  <sheetData>
    <row r="1" spans="1:12" ht="11.25" customHeight="1" x14ac:dyDescent="0.15">
      <c r="A1" s="302" t="s">
        <v>191</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8">
        <v>0</v>
      </c>
      <c r="L4" s="113"/>
    </row>
    <row r="5" spans="1:12" x14ac:dyDescent="0.15">
      <c r="A5" s="113"/>
      <c r="B5" s="13">
        <v>2</v>
      </c>
      <c r="C5" s="9">
        <v>0</v>
      </c>
      <c r="D5" s="9">
        <v>0</v>
      </c>
      <c r="E5" s="9">
        <v>0</v>
      </c>
      <c r="F5" s="9">
        <v>0</v>
      </c>
      <c r="G5" s="9">
        <v>0</v>
      </c>
      <c r="H5" s="9">
        <v>0</v>
      </c>
      <c r="I5" s="9">
        <v>0</v>
      </c>
      <c r="J5" s="9">
        <v>0</v>
      </c>
      <c r="K5" s="9">
        <v>0</v>
      </c>
      <c r="L5" s="113"/>
    </row>
    <row r="6" spans="1:12" x14ac:dyDescent="0.15">
      <c r="A6" s="113"/>
      <c r="B6" s="13">
        <v>3</v>
      </c>
      <c r="C6" s="9">
        <v>0</v>
      </c>
      <c r="D6" s="9">
        <v>0</v>
      </c>
      <c r="E6" s="9">
        <v>0</v>
      </c>
      <c r="F6" s="9">
        <v>0</v>
      </c>
      <c r="G6" s="9">
        <v>0</v>
      </c>
      <c r="H6" s="9">
        <v>0</v>
      </c>
      <c r="I6" s="9">
        <v>0</v>
      </c>
      <c r="J6" s="9">
        <v>0</v>
      </c>
      <c r="K6" s="9">
        <v>0</v>
      </c>
      <c r="L6" s="113"/>
    </row>
    <row r="7" spans="1:12" x14ac:dyDescent="0.15">
      <c r="A7" s="113"/>
      <c r="B7" s="13">
        <v>4</v>
      </c>
      <c r="C7" s="9">
        <v>0</v>
      </c>
      <c r="D7" s="9">
        <v>0</v>
      </c>
      <c r="E7" s="9">
        <v>0</v>
      </c>
      <c r="F7" s="9">
        <v>0</v>
      </c>
      <c r="G7" s="9">
        <v>0</v>
      </c>
      <c r="H7" s="9">
        <v>0</v>
      </c>
      <c r="I7" s="9">
        <v>0</v>
      </c>
      <c r="J7" s="9">
        <v>0</v>
      </c>
      <c r="K7" s="9">
        <v>0</v>
      </c>
      <c r="L7" s="113"/>
    </row>
    <row r="8" spans="1:12" x14ac:dyDescent="0.15">
      <c r="A8" s="113"/>
      <c r="B8" s="13">
        <v>5</v>
      </c>
      <c r="C8" s="9">
        <v>0</v>
      </c>
      <c r="D8" s="9">
        <v>0</v>
      </c>
      <c r="E8" s="9">
        <v>0</v>
      </c>
      <c r="F8" s="9">
        <v>0</v>
      </c>
      <c r="G8" s="9">
        <v>0</v>
      </c>
      <c r="H8" s="9">
        <v>0</v>
      </c>
      <c r="I8" s="9">
        <v>0</v>
      </c>
      <c r="J8" s="9">
        <v>0</v>
      </c>
      <c r="K8" s="9">
        <v>0</v>
      </c>
      <c r="L8" s="113"/>
    </row>
    <row r="9" spans="1:12" x14ac:dyDescent="0.15">
      <c r="A9" s="113"/>
      <c r="B9" s="13">
        <v>6</v>
      </c>
      <c r="C9" s="9">
        <v>0</v>
      </c>
      <c r="D9" s="9">
        <v>0</v>
      </c>
      <c r="E9" s="9">
        <v>0</v>
      </c>
      <c r="F9" s="9">
        <v>0</v>
      </c>
      <c r="G9" s="9">
        <v>0</v>
      </c>
      <c r="H9" s="9">
        <v>0</v>
      </c>
      <c r="I9" s="9">
        <v>0</v>
      </c>
      <c r="J9" s="9">
        <v>0</v>
      </c>
      <c r="K9" s="9">
        <v>0</v>
      </c>
      <c r="L9" s="113"/>
    </row>
    <row r="10" spans="1:12" x14ac:dyDescent="0.15">
      <c r="A10" s="113"/>
      <c r="B10" s="13">
        <v>7</v>
      </c>
      <c r="C10" s="9">
        <v>0</v>
      </c>
      <c r="D10" s="9">
        <v>0</v>
      </c>
      <c r="E10" s="9">
        <v>0</v>
      </c>
      <c r="F10" s="9">
        <v>0</v>
      </c>
      <c r="G10" s="9">
        <v>0</v>
      </c>
      <c r="H10" s="9">
        <v>0</v>
      </c>
      <c r="I10" s="9">
        <v>0</v>
      </c>
      <c r="J10" s="9">
        <v>0</v>
      </c>
      <c r="K10" s="9">
        <v>0</v>
      </c>
      <c r="L10" s="113"/>
    </row>
    <row r="11" spans="1:12" x14ac:dyDescent="0.15">
      <c r="A11" s="113"/>
      <c r="B11" s="13">
        <v>8</v>
      </c>
      <c r="C11" s="9">
        <v>0</v>
      </c>
      <c r="D11" s="9">
        <v>0</v>
      </c>
      <c r="E11" s="9">
        <v>0</v>
      </c>
      <c r="F11" s="9">
        <v>0</v>
      </c>
      <c r="G11" s="9">
        <v>0</v>
      </c>
      <c r="H11" s="9">
        <v>0</v>
      </c>
      <c r="I11" s="9">
        <v>0</v>
      </c>
      <c r="J11" s="9">
        <v>0</v>
      </c>
      <c r="K11" s="9">
        <v>0</v>
      </c>
      <c r="L11" s="113"/>
    </row>
    <row r="12" spans="1:12" x14ac:dyDescent="0.15">
      <c r="A12" s="113"/>
      <c r="B12" s="13">
        <v>9</v>
      </c>
      <c r="C12" s="9">
        <v>0</v>
      </c>
      <c r="D12" s="9">
        <v>0</v>
      </c>
      <c r="E12" s="9">
        <v>0</v>
      </c>
      <c r="F12" s="9">
        <v>0</v>
      </c>
      <c r="G12" s="9">
        <v>0</v>
      </c>
      <c r="H12" s="9">
        <v>0</v>
      </c>
      <c r="I12" s="9">
        <v>0</v>
      </c>
      <c r="J12" s="9">
        <v>0</v>
      </c>
      <c r="K12" s="9">
        <v>0</v>
      </c>
      <c r="L12" s="113"/>
    </row>
    <row r="13" spans="1:12" x14ac:dyDescent="0.15">
      <c r="A13" s="3"/>
      <c r="B13" s="13">
        <v>10</v>
      </c>
      <c r="C13" s="9">
        <v>80</v>
      </c>
      <c r="D13" s="9">
        <v>55</v>
      </c>
      <c r="E13" s="9">
        <v>20</v>
      </c>
      <c r="F13" s="9">
        <v>35</v>
      </c>
      <c r="G13" s="9">
        <v>47</v>
      </c>
      <c r="H13" s="9">
        <v>45</v>
      </c>
      <c r="I13" s="9">
        <v>10</v>
      </c>
      <c r="J13" s="9">
        <v>3563</v>
      </c>
      <c r="K13" s="14">
        <v>2299</v>
      </c>
      <c r="L13" s="3"/>
    </row>
    <row r="14" spans="1:12" x14ac:dyDescent="0.15">
      <c r="A14" s="3"/>
      <c r="B14" s="13">
        <v>11</v>
      </c>
      <c r="C14" s="9">
        <v>86</v>
      </c>
      <c r="D14" s="9">
        <v>58</v>
      </c>
      <c r="E14" s="9">
        <v>23</v>
      </c>
      <c r="F14" s="9">
        <v>35</v>
      </c>
      <c r="G14" s="9">
        <v>47</v>
      </c>
      <c r="H14" s="9">
        <v>45</v>
      </c>
      <c r="I14" s="9">
        <v>10</v>
      </c>
      <c r="J14" s="9">
        <v>5862</v>
      </c>
      <c r="K14" s="14">
        <v>2801</v>
      </c>
      <c r="L14" s="3"/>
    </row>
    <row r="15" spans="1:12" x14ac:dyDescent="0.15">
      <c r="A15" s="3"/>
      <c r="B15" s="13">
        <v>12</v>
      </c>
      <c r="C15" s="9">
        <v>92</v>
      </c>
      <c r="D15" s="9">
        <v>61</v>
      </c>
      <c r="E15" s="9">
        <v>26</v>
      </c>
      <c r="F15" s="9">
        <v>35</v>
      </c>
      <c r="G15" s="9">
        <v>47</v>
      </c>
      <c r="H15" s="9">
        <v>45</v>
      </c>
      <c r="I15" s="9">
        <v>10</v>
      </c>
      <c r="J15" s="9">
        <v>8663</v>
      </c>
      <c r="K15" s="14">
        <v>3413</v>
      </c>
      <c r="L15" s="3"/>
    </row>
    <row r="16" spans="1:12" x14ac:dyDescent="0.15">
      <c r="A16" s="3"/>
      <c r="B16" s="13">
        <v>13</v>
      </c>
      <c r="C16" s="9">
        <v>98</v>
      </c>
      <c r="D16" s="9">
        <v>64</v>
      </c>
      <c r="E16" s="9">
        <v>29</v>
      </c>
      <c r="F16" s="9">
        <v>35</v>
      </c>
      <c r="G16" s="9">
        <v>47</v>
      </c>
      <c r="H16" s="9">
        <v>45</v>
      </c>
      <c r="I16" s="9">
        <v>10</v>
      </c>
      <c r="J16" s="9">
        <v>12076</v>
      </c>
      <c r="K16" s="14">
        <v>4159</v>
      </c>
      <c r="L16" s="3"/>
    </row>
    <row r="17" spans="1:12" x14ac:dyDescent="0.15">
      <c r="A17" s="3"/>
      <c r="B17" s="13">
        <v>14</v>
      </c>
      <c r="C17" s="9">
        <v>104</v>
      </c>
      <c r="D17" s="9">
        <v>67</v>
      </c>
      <c r="E17" s="9">
        <v>32</v>
      </c>
      <c r="F17" s="9">
        <v>35</v>
      </c>
      <c r="G17" s="9">
        <v>47</v>
      </c>
      <c r="H17" s="9">
        <v>45</v>
      </c>
      <c r="I17" s="9">
        <v>10</v>
      </c>
      <c r="J17" s="9">
        <v>16235</v>
      </c>
      <c r="K17" s="14">
        <v>5068</v>
      </c>
      <c r="L17" s="3"/>
    </row>
    <row r="18" spans="1:12" x14ac:dyDescent="0.15">
      <c r="A18" s="3"/>
      <c r="B18" s="13">
        <v>15</v>
      </c>
      <c r="C18" s="9">
        <v>110</v>
      </c>
      <c r="D18" s="9">
        <v>70</v>
      </c>
      <c r="E18" s="9">
        <v>35</v>
      </c>
      <c r="F18" s="9">
        <v>35</v>
      </c>
      <c r="G18" s="9">
        <v>47</v>
      </c>
      <c r="H18" s="9">
        <v>45</v>
      </c>
      <c r="I18" s="9">
        <v>10</v>
      </c>
      <c r="J18" s="9">
        <v>21303</v>
      </c>
      <c r="K18" s="14">
        <v>5543</v>
      </c>
      <c r="L18" s="3"/>
    </row>
    <row r="19" spans="1:12" x14ac:dyDescent="0.15">
      <c r="A19" s="3"/>
      <c r="B19" s="13">
        <v>16</v>
      </c>
      <c r="C19" s="9">
        <v>116</v>
      </c>
      <c r="D19" s="9">
        <v>79</v>
      </c>
      <c r="E19" s="9">
        <v>38</v>
      </c>
      <c r="F19" s="9">
        <v>39</v>
      </c>
      <c r="G19" s="9">
        <v>50</v>
      </c>
      <c r="H19" s="9">
        <v>48</v>
      </c>
      <c r="I19" s="9">
        <v>10</v>
      </c>
      <c r="J19" s="9">
        <v>26846</v>
      </c>
      <c r="K19" s="14">
        <v>6062</v>
      </c>
      <c r="L19" s="3"/>
    </row>
    <row r="20" spans="1:12" x14ac:dyDescent="0.15">
      <c r="A20" s="3"/>
      <c r="B20" s="13">
        <v>17</v>
      </c>
      <c r="C20" s="9">
        <v>122</v>
      </c>
      <c r="D20" s="9">
        <v>88</v>
      </c>
      <c r="E20" s="9">
        <v>41</v>
      </c>
      <c r="F20" s="9">
        <v>43</v>
      </c>
      <c r="G20" s="9">
        <v>54</v>
      </c>
      <c r="H20" s="9">
        <v>51</v>
      </c>
      <c r="I20" s="9">
        <v>11</v>
      </c>
      <c r="J20" s="9">
        <v>32908</v>
      </c>
      <c r="K20" s="14">
        <v>6630</v>
      </c>
      <c r="L20" s="3"/>
    </row>
    <row r="21" spans="1:12" x14ac:dyDescent="0.15">
      <c r="A21" s="3"/>
      <c r="B21" s="13">
        <v>18</v>
      </c>
      <c r="C21" s="9">
        <v>128</v>
      </c>
      <c r="D21" s="9">
        <v>97</v>
      </c>
      <c r="E21" s="9">
        <v>44</v>
      </c>
      <c r="F21" s="9">
        <v>47</v>
      </c>
      <c r="G21" s="9">
        <v>58</v>
      </c>
      <c r="H21" s="9">
        <v>54</v>
      </c>
      <c r="I21" s="9">
        <v>11</v>
      </c>
      <c r="J21" s="9">
        <v>39538</v>
      </c>
      <c r="K21" s="14">
        <v>7251</v>
      </c>
      <c r="L21" s="3"/>
    </row>
    <row r="22" spans="1:12" x14ac:dyDescent="0.15">
      <c r="A22" s="3"/>
      <c r="B22" s="13">
        <v>19</v>
      </c>
      <c r="C22" s="9">
        <v>134</v>
      </c>
      <c r="D22" s="9">
        <v>106</v>
      </c>
      <c r="E22" s="9">
        <v>47</v>
      </c>
      <c r="F22" s="9">
        <v>51</v>
      </c>
      <c r="G22" s="9">
        <v>62</v>
      </c>
      <c r="H22" s="9">
        <v>57</v>
      </c>
      <c r="I22" s="9">
        <v>12</v>
      </c>
      <c r="J22" s="9">
        <v>46789</v>
      </c>
      <c r="K22" s="14">
        <v>7930</v>
      </c>
      <c r="L22" s="3"/>
    </row>
    <row r="23" spans="1:12" x14ac:dyDescent="0.15">
      <c r="A23" s="3"/>
      <c r="B23" s="13">
        <v>20</v>
      </c>
      <c r="C23" s="9">
        <v>140</v>
      </c>
      <c r="D23" s="9">
        <v>115</v>
      </c>
      <c r="E23" s="9">
        <v>51</v>
      </c>
      <c r="F23" s="9">
        <v>56</v>
      </c>
      <c r="G23" s="9">
        <v>66</v>
      </c>
      <c r="H23" s="9">
        <v>60</v>
      </c>
      <c r="I23" s="9">
        <v>13</v>
      </c>
      <c r="J23" s="9">
        <v>54719</v>
      </c>
      <c r="K23" s="14">
        <v>8921</v>
      </c>
      <c r="L23" s="3"/>
    </row>
    <row r="24" spans="1:12" x14ac:dyDescent="0.15">
      <c r="A24" s="3"/>
      <c r="B24" s="13">
        <v>21</v>
      </c>
      <c r="C24" s="9">
        <v>146</v>
      </c>
      <c r="D24" s="9">
        <v>117</v>
      </c>
      <c r="E24" s="9">
        <v>54</v>
      </c>
      <c r="F24" s="9">
        <v>57</v>
      </c>
      <c r="G24" s="9">
        <v>67</v>
      </c>
      <c r="H24" s="9">
        <v>63</v>
      </c>
      <c r="I24" s="9">
        <v>13</v>
      </c>
      <c r="J24" s="9">
        <v>63640</v>
      </c>
      <c r="K24" s="14">
        <v>10036</v>
      </c>
      <c r="L24" s="3"/>
    </row>
    <row r="25" spans="1:12" x14ac:dyDescent="0.15">
      <c r="A25" s="3"/>
      <c r="B25" s="13">
        <v>22</v>
      </c>
      <c r="C25" s="9">
        <v>153</v>
      </c>
      <c r="D25" s="9">
        <v>120</v>
      </c>
      <c r="E25" s="9">
        <v>57</v>
      </c>
      <c r="F25" s="9">
        <v>59</v>
      </c>
      <c r="G25" s="9">
        <v>68</v>
      </c>
      <c r="H25" s="9">
        <v>67</v>
      </c>
      <c r="I25" s="9">
        <v>14</v>
      </c>
      <c r="J25" s="9">
        <v>73676</v>
      </c>
      <c r="K25" s="14">
        <v>11290</v>
      </c>
      <c r="L25" s="3"/>
    </row>
    <row r="26" spans="1:12" x14ac:dyDescent="0.15">
      <c r="A26" s="3"/>
      <c r="B26" s="13">
        <v>23</v>
      </c>
      <c r="C26" s="9">
        <v>159</v>
      </c>
      <c r="D26" s="9">
        <v>123</v>
      </c>
      <c r="E26" s="9">
        <v>60</v>
      </c>
      <c r="F26" s="9">
        <v>60</v>
      </c>
      <c r="G26" s="9">
        <v>69</v>
      </c>
      <c r="H26" s="9">
        <v>71</v>
      </c>
      <c r="I26" s="9">
        <v>15</v>
      </c>
      <c r="J26" s="9">
        <v>84966</v>
      </c>
      <c r="K26" s="14">
        <v>12701</v>
      </c>
      <c r="L26" s="3"/>
    </row>
    <row r="27" spans="1:12" x14ac:dyDescent="0.15">
      <c r="A27" s="3"/>
      <c r="B27" s="13">
        <v>24</v>
      </c>
      <c r="C27" s="9">
        <v>166</v>
      </c>
      <c r="D27" s="9">
        <v>126</v>
      </c>
      <c r="E27" s="9">
        <v>64</v>
      </c>
      <c r="F27" s="9">
        <v>62</v>
      </c>
      <c r="G27" s="9">
        <v>70</v>
      </c>
      <c r="H27" s="9">
        <v>74</v>
      </c>
      <c r="I27" s="9">
        <v>15</v>
      </c>
      <c r="J27" s="9">
        <v>97667</v>
      </c>
      <c r="K27" s="14">
        <v>14288</v>
      </c>
      <c r="L27" s="3"/>
    </row>
    <row r="28" spans="1:12" x14ac:dyDescent="0.15">
      <c r="A28" s="3"/>
      <c r="B28" s="13">
        <v>25</v>
      </c>
      <c r="C28" s="9">
        <v>172</v>
      </c>
      <c r="D28" s="9">
        <v>129</v>
      </c>
      <c r="E28" s="9">
        <v>67</v>
      </c>
      <c r="F28" s="9">
        <v>64</v>
      </c>
      <c r="G28" s="9">
        <v>72</v>
      </c>
      <c r="H28" s="9">
        <v>78</v>
      </c>
      <c r="I28" s="9">
        <v>16</v>
      </c>
      <c r="J28" s="9">
        <v>111955</v>
      </c>
      <c r="K28" s="14">
        <v>16074</v>
      </c>
      <c r="L28" s="3"/>
    </row>
    <row r="29" spans="1:12" x14ac:dyDescent="0.15">
      <c r="A29" s="3"/>
      <c r="B29" s="13">
        <v>26</v>
      </c>
      <c r="C29" s="9">
        <v>179</v>
      </c>
      <c r="D29" s="9">
        <v>131</v>
      </c>
      <c r="E29" s="9">
        <v>70</v>
      </c>
      <c r="F29" s="9">
        <v>65</v>
      </c>
      <c r="G29" s="9">
        <v>73</v>
      </c>
      <c r="H29" s="9">
        <v>82</v>
      </c>
      <c r="I29" s="9">
        <v>17</v>
      </c>
      <c r="J29" s="9">
        <v>128029</v>
      </c>
      <c r="K29" s="14">
        <v>18083</v>
      </c>
      <c r="L29" s="3"/>
    </row>
    <row r="30" spans="1:12" x14ac:dyDescent="0.15">
      <c r="A30" s="3"/>
      <c r="B30" s="13">
        <v>27</v>
      </c>
      <c r="C30" s="9">
        <v>185</v>
      </c>
      <c r="D30" s="9">
        <v>134</v>
      </c>
      <c r="E30" s="9">
        <v>74</v>
      </c>
      <c r="F30" s="9">
        <v>67</v>
      </c>
      <c r="G30" s="9">
        <v>74</v>
      </c>
      <c r="H30" s="9">
        <v>85</v>
      </c>
      <c r="I30" s="9">
        <v>17</v>
      </c>
      <c r="J30" s="9">
        <v>146112</v>
      </c>
      <c r="K30" s="14">
        <v>20343</v>
      </c>
      <c r="L30" s="3"/>
    </row>
    <row r="31" spans="1:12" x14ac:dyDescent="0.15">
      <c r="A31" s="3"/>
      <c r="B31" s="13">
        <v>28</v>
      </c>
      <c r="C31" s="9">
        <v>192</v>
      </c>
      <c r="D31" s="9">
        <v>137</v>
      </c>
      <c r="E31" s="9">
        <v>77</v>
      </c>
      <c r="F31" s="9">
        <v>68</v>
      </c>
      <c r="G31" s="9">
        <v>75</v>
      </c>
      <c r="H31" s="9">
        <v>89</v>
      </c>
      <c r="I31" s="9">
        <v>18</v>
      </c>
      <c r="J31" s="9">
        <v>166455</v>
      </c>
      <c r="K31" s="14">
        <v>22885</v>
      </c>
      <c r="L31" s="3"/>
    </row>
    <row r="32" spans="1:12" x14ac:dyDescent="0.15">
      <c r="A32" s="3"/>
      <c r="B32" s="13">
        <v>29</v>
      </c>
      <c r="C32" s="9">
        <v>198</v>
      </c>
      <c r="D32" s="9">
        <v>140</v>
      </c>
      <c r="E32" s="9">
        <v>80</v>
      </c>
      <c r="F32" s="9">
        <v>70</v>
      </c>
      <c r="G32" s="9">
        <v>76</v>
      </c>
      <c r="H32" s="9">
        <v>93</v>
      </c>
      <c r="I32" s="9">
        <v>19</v>
      </c>
      <c r="J32" s="9">
        <v>189340</v>
      </c>
      <c r="K32" s="14">
        <v>25745</v>
      </c>
      <c r="L32" s="3"/>
    </row>
    <row r="33" spans="1:12" x14ac:dyDescent="0.15">
      <c r="A33" s="3"/>
      <c r="B33" s="15">
        <v>30</v>
      </c>
      <c r="C33" s="10">
        <v>205</v>
      </c>
      <c r="D33" s="10">
        <v>143</v>
      </c>
      <c r="E33" s="10">
        <v>84</v>
      </c>
      <c r="F33" s="10">
        <v>72</v>
      </c>
      <c r="G33" s="10">
        <v>78</v>
      </c>
      <c r="H33" s="10">
        <v>97</v>
      </c>
      <c r="I33" s="10">
        <v>20</v>
      </c>
      <c r="J33" s="10">
        <v>215085</v>
      </c>
      <c r="K33" s="16">
        <v>28963</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4"/>
  <sheetViews>
    <sheetView workbookViewId="0">
      <selection activeCell="H4" sqref="H4"/>
    </sheetView>
  </sheetViews>
  <sheetFormatPr defaultColWidth="5.625" defaultRowHeight="11.25" x14ac:dyDescent="0.15"/>
  <cols>
    <col min="1" max="16384" width="5.625" style="1"/>
  </cols>
  <sheetData>
    <row r="1" spans="1:12" ht="11.25" customHeight="1" x14ac:dyDescent="0.15">
      <c r="A1" s="302" t="s">
        <v>195</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8">
        <v>0</v>
      </c>
      <c r="L4" s="113"/>
    </row>
    <row r="5" spans="1:12" x14ac:dyDescent="0.15">
      <c r="A5" s="113"/>
      <c r="B5" s="13">
        <v>2</v>
      </c>
      <c r="C5" s="9">
        <v>0</v>
      </c>
      <c r="D5" s="9">
        <v>0</v>
      </c>
      <c r="E5" s="9">
        <v>0</v>
      </c>
      <c r="F5" s="9">
        <v>0</v>
      </c>
      <c r="G5" s="9">
        <v>0</v>
      </c>
      <c r="H5" s="9">
        <v>0</v>
      </c>
      <c r="I5" s="9">
        <v>0</v>
      </c>
      <c r="J5" s="9">
        <v>0</v>
      </c>
      <c r="K5" s="9">
        <v>0</v>
      </c>
      <c r="L5" s="113"/>
    </row>
    <row r="6" spans="1:12" x14ac:dyDescent="0.15">
      <c r="A6" s="113"/>
      <c r="B6" s="13">
        <v>3</v>
      </c>
      <c r="C6" s="9">
        <v>0</v>
      </c>
      <c r="D6" s="9">
        <v>0</v>
      </c>
      <c r="E6" s="9">
        <v>0</v>
      </c>
      <c r="F6" s="9">
        <v>0</v>
      </c>
      <c r="G6" s="9">
        <v>0</v>
      </c>
      <c r="H6" s="9">
        <v>0</v>
      </c>
      <c r="I6" s="9">
        <v>0</v>
      </c>
      <c r="J6" s="9">
        <v>0</v>
      </c>
      <c r="K6" s="9">
        <v>0</v>
      </c>
      <c r="L6" s="113"/>
    </row>
    <row r="7" spans="1:12" x14ac:dyDescent="0.15">
      <c r="A7" s="113"/>
      <c r="B7" s="13">
        <v>4</v>
      </c>
      <c r="C7" s="9">
        <v>0</v>
      </c>
      <c r="D7" s="9">
        <v>0</v>
      </c>
      <c r="E7" s="9">
        <v>0</v>
      </c>
      <c r="F7" s="9">
        <v>0</v>
      </c>
      <c r="G7" s="9">
        <v>0</v>
      </c>
      <c r="H7" s="9">
        <v>0</v>
      </c>
      <c r="I7" s="9">
        <v>0</v>
      </c>
      <c r="J7" s="9">
        <v>0</v>
      </c>
      <c r="K7" s="9">
        <v>0</v>
      </c>
      <c r="L7" s="113"/>
    </row>
    <row r="8" spans="1:12" x14ac:dyDescent="0.15">
      <c r="A8" s="113"/>
      <c r="B8" s="13">
        <v>5</v>
      </c>
      <c r="C8" s="9">
        <v>0</v>
      </c>
      <c r="D8" s="9">
        <v>0</v>
      </c>
      <c r="E8" s="9">
        <v>0</v>
      </c>
      <c r="F8" s="9">
        <v>0</v>
      </c>
      <c r="G8" s="9">
        <v>0</v>
      </c>
      <c r="H8" s="9">
        <v>0</v>
      </c>
      <c r="I8" s="9">
        <v>0</v>
      </c>
      <c r="J8" s="9">
        <v>0</v>
      </c>
      <c r="K8" s="9">
        <v>0</v>
      </c>
      <c r="L8" s="113"/>
    </row>
    <row r="9" spans="1:12" x14ac:dyDescent="0.15">
      <c r="A9" s="113"/>
      <c r="B9" s="13">
        <v>6</v>
      </c>
      <c r="C9" s="9">
        <v>0</v>
      </c>
      <c r="D9" s="9">
        <v>0</v>
      </c>
      <c r="E9" s="9">
        <v>0</v>
      </c>
      <c r="F9" s="9">
        <v>0</v>
      </c>
      <c r="G9" s="9">
        <v>0</v>
      </c>
      <c r="H9" s="9">
        <v>0</v>
      </c>
      <c r="I9" s="9">
        <v>0</v>
      </c>
      <c r="J9" s="9">
        <v>0</v>
      </c>
      <c r="K9" s="9">
        <v>0</v>
      </c>
      <c r="L9" s="113"/>
    </row>
    <row r="10" spans="1:12" x14ac:dyDescent="0.15">
      <c r="A10" s="113"/>
      <c r="B10" s="13">
        <v>7</v>
      </c>
      <c r="C10" s="9">
        <v>0</v>
      </c>
      <c r="D10" s="9">
        <v>0</v>
      </c>
      <c r="E10" s="9">
        <v>0</v>
      </c>
      <c r="F10" s="9">
        <v>0</v>
      </c>
      <c r="G10" s="9">
        <v>0</v>
      </c>
      <c r="H10" s="9">
        <v>0</v>
      </c>
      <c r="I10" s="9">
        <v>0</v>
      </c>
      <c r="J10" s="9">
        <v>0</v>
      </c>
      <c r="K10" s="9">
        <v>0</v>
      </c>
      <c r="L10" s="113"/>
    </row>
    <row r="11" spans="1:12" x14ac:dyDescent="0.15">
      <c r="A11" s="113"/>
      <c r="B11" s="13">
        <v>8</v>
      </c>
      <c r="C11" s="9">
        <v>0</v>
      </c>
      <c r="D11" s="9">
        <v>0</v>
      </c>
      <c r="E11" s="9">
        <v>0</v>
      </c>
      <c r="F11" s="9">
        <v>0</v>
      </c>
      <c r="G11" s="9">
        <v>0</v>
      </c>
      <c r="H11" s="9">
        <v>0</v>
      </c>
      <c r="I11" s="9">
        <v>0</v>
      </c>
      <c r="J11" s="9">
        <v>0</v>
      </c>
      <c r="K11" s="9">
        <v>0</v>
      </c>
      <c r="L11" s="113"/>
    </row>
    <row r="12" spans="1:12" x14ac:dyDescent="0.15">
      <c r="A12" s="113"/>
      <c r="B12" s="13">
        <v>9</v>
      </c>
      <c r="C12" s="9">
        <v>0</v>
      </c>
      <c r="D12" s="9">
        <v>0</v>
      </c>
      <c r="E12" s="9">
        <v>0</v>
      </c>
      <c r="F12" s="9">
        <v>0</v>
      </c>
      <c r="G12" s="9">
        <v>0</v>
      </c>
      <c r="H12" s="9">
        <v>0</v>
      </c>
      <c r="I12" s="9">
        <v>0</v>
      </c>
      <c r="J12" s="9">
        <v>0</v>
      </c>
      <c r="K12" s="9">
        <v>0</v>
      </c>
      <c r="L12" s="113"/>
    </row>
    <row r="13" spans="1:12" x14ac:dyDescent="0.15">
      <c r="A13" s="113"/>
      <c r="B13" s="13">
        <v>10</v>
      </c>
      <c r="C13" s="9">
        <v>0</v>
      </c>
      <c r="D13" s="9">
        <v>0</v>
      </c>
      <c r="E13" s="9">
        <v>0</v>
      </c>
      <c r="F13" s="9">
        <v>0</v>
      </c>
      <c r="G13" s="9">
        <v>0</v>
      </c>
      <c r="H13" s="9">
        <v>0</v>
      </c>
      <c r="I13" s="9">
        <v>0</v>
      </c>
      <c r="J13" s="9">
        <v>0</v>
      </c>
      <c r="K13" s="9">
        <v>0</v>
      </c>
      <c r="L13" s="113"/>
    </row>
    <row r="14" spans="1:12" x14ac:dyDescent="0.15">
      <c r="A14" s="113"/>
      <c r="B14" s="13">
        <v>11</v>
      </c>
      <c r="C14" s="9">
        <v>0</v>
      </c>
      <c r="D14" s="9">
        <v>0</v>
      </c>
      <c r="E14" s="9">
        <v>0</v>
      </c>
      <c r="F14" s="9">
        <v>0</v>
      </c>
      <c r="G14" s="9">
        <v>0</v>
      </c>
      <c r="H14" s="9">
        <v>0</v>
      </c>
      <c r="I14" s="9">
        <v>0</v>
      </c>
      <c r="J14" s="9">
        <v>0</v>
      </c>
      <c r="K14" s="9">
        <v>0</v>
      </c>
      <c r="L14" s="113"/>
    </row>
    <row r="15" spans="1:12" x14ac:dyDescent="0.15">
      <c r="A15" s="113"/>
      <c r="B15" s="13">
        <v>12</v>
      </c>
      <c r="C15" s="9">
        <v>0</v>
      </c>
      <c r="D15" s="9">
        <v>0</v>
      </c>
      <c r="E15" s="9">
        <v>0</v>
      </c>
      <c r="F15" s="9">
        <v>0</v>
      </c>
      <c r="G15" s="9">
        <v>0</v>
      </c>
      <c r="H15" s="9">
        <v>0</v>
      </c>
      <c r="I15" s="9">
        <v>0</v>
      </c>
      <c r="J15" s="9">
        <v>0</v>
      </c>
      <c r="K15" s="9">
        <v>0</v>
      </c>
      <c r="L15" s="113"/>
    </row>
    <row r="16" spans="1:12" x14ac:dyDescent="0.15">
      <c r="A16" s="113"/>
      <c r="B16" s="13">
        <v>13</v>
      </c>
      <c r="C16" s="9">
        <v>0</v>
      </c>
      <c r="D16" s="9">
        <v>0</v>
      </c>
      <c r="E16" s="9">
        <v>0</v>
      </c>
      <c r="F16" s="9">
        <v>0</v>
      </c>
      <c r="G16" s="9">
        <v>0</v>
      </c>
      <c r="H16" s="9">
        <v>0</v>
      </c>
      <c r="I16" s="9">
        <v>0</v>
      </c>
      <c r="J16" s="9">
        <v>0</v>
      </c>
      <c r="K16" s="9">
        <v>0</v>
      </c>
      <c r="L16" s="113"/>
    </row>
    <row r="17" spans="1:12" x14ac:dyDescent="0.15">
      <c r="A17" s="113"/>
      <c r="B17" s="13">
        <v>14</v>
      </c>
      <c r="C17" s="9">
        <v>0</v>
      </c>
      <c r="D17" s="9">
        <v>0</v>
      </c>
      <c r="E17" s="9">
        <v>0</v>
      </c>
      <c r="F17" s="9">
        <v>0</v>
      </c>
      <c r="G17" s="9">
        <v>0</v>
      </c>
      <c r="H17" s="9">
        <v>0</v>
      </c>
      <c r="I17" s="9">
        <v>0</v>
      </c>
      <c r="J17" s="9">
        <v>0</v>
      </c>
      <c r="K17" s="9">
        <v>0</v>
      </c>
      <c r="L17" s="113"/>
    </row>
    <row r="18" spans="1:12" x14ac:dyDescent="0.15">
      <c r="A18" s="3"/>
      <c r="B18" s="13">
        <v>15</v>
      </c>
      <c r="C18" s="9">
        <v>150</v>
      </c>
      <c r="D18" s="9">
        <v>37</v>
      </c>
      <c r="E18" s="9">
        <v>70</v>
      </c>
      <c r="F18" s="9">
        <v>68</v>
      </c>
      <c r="G18" s="9">
        <v>66</v>
      </c>
      <c r="H18" s="9">
        <v>60</v>
      </c>
      <c r="I18" s="9">
        <v>24</v>
      </c>
      <c r="J18" s="9">
        <v>24300</v>
      </c>
      <c r="K18" s="14">
        <v>7569</v>
      </c>
      <c r="L18" s="3"/>
    </row>
    <row r="19" spans="1:12" x14ac:dyDescent="0.15">
      <c r="A19" s="3"/>
      <c r="B19" s="13">
        <v>16</v>
      </c>
      <c r="C19" s="9">
        <v>156</v>
      </c>
      <c r="D19" s="9">
        <v>42</v>
      </c>
      <c r="E19" s="9">
        <v>70</v>
      </c>
      <c r="F19" s="9">
        <v>69</v>
      </c>
      <c r="G19" s="9">
        <v>67</v>
      </c>
      <c r="H19" s="9">
        <v>60</v>
      </c>
      <c r="I19" s="9">
        <v>24</v>
      </c>
      <c r="J19" s="9">
        <v>31869</v>
      </c>
      <c r="K19" s="14">
        <v>7805</v>
      </c>
      <c r="L19" s="3"/>
    </row>
    <row r="20" spans="1:12" x14ac:dyDescent="0.15">
      <c r="A20" s="3"/>
      <c r="B20" s="13">
        <v>17</v>
      </c>
      <c r="C20" s="9">
        <v>162</v>
      </c>
      <c r="D20" s="9">
        <v>47</v>
      </c>
      <c r="E20" s="9">
        <v>71</v>
      </c>
      <c r="F20" s="9">
        <v>70</v>
      </c>
      <c r="G20" s="9">
        <v>68</v>
      </c>
      <c r="H20" s="9">
        <v>61</v>
      </c>
      <c r="I20" s="9">
        <v>24</v>
      </c>
      <c r="J20" s="9">
        <v>39674</v>
      </c>
      <c r="K20" s="14">
        <v>8048</v>
      </c>
      <c r="L20" s="3"/>
    </row>
    <row r="21" spans="1:12" x14ac:dyDescent="0.15">
      <c r="A21" s="3"/>
      <c r="B21" s="13">
        <v>18</v>
      </c>
      <c r="C21" s="9">
        <v>168</v>
      </c>
      <c r="D21" s="9">
        <v>52</v>
      </c>
      <c r="E21" s="9">
        <v>71</v>
      </c>
      <c r="F21" s="9">
        <v>72</v>
      </c>
      <c r="G21" s="9">
        <v>69</v>
      </c>
      <c r="H21" s="9">
        <v>61</v>
      </c>
      <c r="I21" s="9">
        <v>24</v>
      </c>
      <c r="J21" s="9">
        <v>47722</v>
      </c>
      <c r="K21" s="14">
        <v>8299</v>
      </c>
      <c r="L21" s="3"/>
    </row>
    <row r="22" spans="1:12" x14ac:dyDescent="0.15">
      <c r="A22" s="3"/>
      <c r="B22" s="13">
        <v>19</v>
      </c>
      <c r="C22" s="9">
        <v>174</v>
      </c>
      <c r="D22" s="9">
        <v>57</v>
      </c>
      <c r="E22" s="9">
        <v>72</v>
      </c>
      <c r="F22" s="9">
        <v>73</v>
      </c>
      <c r="G22" s="9">
        <v>70</v>
      </c>
      <c r="H22" s="9">
        <v>62</v>
      </c>
      <c r="I22" s="9">
        <v>24</v>
      </c>
      <c r="J22" s="9">
        <v>56021</v>
      </c>
      <c r="K22" s="14">
        <v>8558</v>
      </c>
      <c r="L22" s="3"/>
    </row>
    <row r="23" spans="1:12" x14ac:dyDescent="0.15">
      <c r="A23" s="3"/>
      <c r="B23" s="13">
        <v>20</v>
      </c>
      <c r="C23" s="9">
        <v>180</v>
      </c>
      <c r="D23" s="9">
        <v>63</v>
      </c>
      <c r="E23" s="9">
        <v>73</v>
      </c>
      <c r="F23" s="9">
        <v>75</v>
      </c>
      <c r="G23" s="9">
        <v>72</v>
      </c>
      <c r="H23" s="9">
        <v>63</v>
      </c>
      <c r="I23" s="9">
        <v>25</v>
      </c>
      <c r="J23" s="9">
        <v>64579</v>
      </c>
      <c r="K23" s="14">
        <v>9895</v>
      </c>
      <c r="L23" s="3"/>
    </row>
    <row r="24" spans="1:12" x14ac:dyDescent="0.15">
      <c r="A24" s="3"/>
      <c r="B24" s="13">
        <v>21</v>
      </c>
      <c r="C24" s="9">
        <v>185</v>
      </c>
      <c r="D24" s="9">
        <v>64</v>
      </c>
      <c r="E24" s="9">
        <v>76</v>
      </c>
      <c r="F24" s="9">
        <v>76</v>
      </c>
      <c r="G24" s="9">
        <v>73</v>
      </c>
      <c r="H24" s="9">
        <v>64</v>
      </c>
      <c r="I24" s="9">
        <v>25</v>
      </c>
      <c r="J24" s="9">
        <v>74474</v>
      </c>
      <c r="K24" s="14">
        <v>11441</v>
      </c>
      <c r="L24" s="3"/>
    </row>
    <row r="25" spans="1:12" x14ac:dyDescent="0.15">
      <c r="A25" s="3"/>
      <c r="B25" s="13">
        <v>22</v>
      </c>
      <c r="C25" s="9">
        <v>190</v>
      </c>
      <c r="D25" s="9">
        <v>66</v>
      </c>
      <c r="E25" s="9">
        <v>80</v>
      </c>
      <c r="F25" s="9">
        <v>77</v>
      </c>
      <c r="G25" s="9">
        <v>74</v>
      </c>
      <c r="H25" s="9">
        <v>65</v>
      </c>
      <c r="I25" s="9">
        <v>25</v>
      </c>
      <c r="J25" s="9">
        <v>85915</v>
      </c>
      <c r="K25" s="14">
        <v>13228</v>
      </c>
      <c r="L25" s="3"/>
    </row>
    <row r="26" spans="1:12" x14ac:dyDescent="0.15">
      <c r="A26" s="3"/>
      <c r="B26" s="13">
        <v>23</v>
      </c>
      <c r="C26" s="9">
        <v>195</v>
      </c>
      <c r="D26" s="9">
        <v>68</v>
      </c>
      <c r="E26" s="9">
        <v>84</v>
      </c>
      <c r="F26" s="9">
        <v>79</v>
      </c>
      <c r="G26" s="9">
        <v>75</v>
      </c>
      <c r="H26" s="9">
        <v>67</v>
      </c>
      <c r="I26" s="9">
        <v>25</v>
      </c>
      <c r="J26" s="9">
        <v>99143</v>
      </c>
      <c r="K26" s="14">
        <v>15294</v>
      </c>
      <c r="L26" s="3"/>
    </row>
    <row r="27" spans="1:12" x14ac:dyDescent="0.15">
      <c r="A27" s="3"/>
      <c r="B27" s="13">
        <v>24</v>
      </c>
      <c r="C27" s="9">
        <v>200</v>
      </c>
      <c r="D27" s="9">
        <v>70</v>
      </c>
      <c r="E27" s="9">
        <v>87</v>
      </c>
      <c r="F27" s="9">
        <v>80</v>
      </c>
      <c r="G27" s="9">
        <v>76</v>
      </c>
      <c r="H27" s="9">
        <v>68</v>
      </c>
      <c r="I27" s="9">
        <v>26</v>
      </c>
      <c r="J27" s="9">
        <v>114437</v>
      </c>
      <c r="K27" s="14">
        <v>17683</v>
      </c>
      <c r="L27" s="3"/>
    </row>
    <row r="28" spans="1:12" x14ac:dyDescent="0.15">
      <c r="A28" s="3"/>
      <c r="B28" s="13">
        <v>25</v>
      </c>
      <c r="C28" s="9">
        <v>205</v>
      </c>
      <c r="D28" s="9">
        <v>72</v>
      </c>
      <c r="E28" s="9">
        <v>91</v>
      </c>
      <c r="F28" s="9">
        <v>82</v>
      </c>
      <c r="G28" s="9">
        <v>77</v>
      </c>
      <c r="H28" s="9">
        <v>70</v>
      </c>
      <c r="I28" s="9">
        <v>26</v>
      </c>
      <c r="J28" s="9">
        <v>132120</v>
      </c>
      <c r="K28" s="14">
        <v>20445</v>
      </c>
      <c r="L28" s="3"/>
    </row>
    <row r="29" spans="1:12" x14ac:dyDescent="0.15">
      <c r="A29" s="3"/>
      <c r="B29" s="13">
        <v>26</v>
      </c>
      <c r="C29" s="9">
        <v>210</v>
      </c>
      <c r="D29" s="9">
        <v>73</v>
      </c>
      <c r="E29" s="9">
        <v>95</v>
      </c>
      <c r="F29" s="9">
        <v>83</v>
      </c>
      <c r="G29" s="9">
        <v>78</v>
      </c>
      <c r="H29" s="9">
        <v>71</v>
      </c>
      <c r="I29" s="9">
        <v>26</v>
      </c>
      <c r="J29" s="9">
        <v>152565</v>
      </c>
      <c r="K29" s="14">
        <v>23639</v>
      </c>
      <c r="L29" s="3"/>
    </row>
    <row r="30" spans="1:12" x14ac:dyDescent="0.15">
      <c r="A30" s="3"/>
      <c r="B30" s="13">
        <v>27</v>
      </c>
      <c r="C30" s="9">
        <v>215</v>
      </c>
      <c r="D30" s="9">
        <v>75</v>
      </c>
      <c r="E30" s="9">
        <v>98</v>
      </c>
      <c r="F30" s="9">
        <v>84</v>
      </c>
      <c r="G30" s="9">
        <v>79</v>
      </c>
      <c r="H30" s="9">
        <v>72</v>
      </c>
      <c r="I30" s="9">
        <v>27</v>
      </c>
      <c r="J30" s="9">
        <v>176204</v>
      </c>
      <c r="K30" s="14">
        <v>27332</v>
      </c>
      <c r="L30" s="3"/>
    </row>
    <row r="31" spans="1:12" x14ac:dyDescent="0.15">
      <c r="A31" s="3"/>
      <c r="B31" s="13">
        <v>28</v>
      </c>
      <c r="C31" s="9">
        <v>220</v>
      </c>
      <c r="D31" s="9">
        <v>77</v>
      </c>
      <c r="E31" s="9">
        <v>102</v>
      </c>
      <c r="F31" s="9">
        <v>86</v>
      </c>
      <c r="G31" s="9">
        <v>80</v>
      </c>
      <c r="H31" s="9">
        <v>74</v>
      </c>
      <c r="I31" s="9">
        <v>27</v>
      </c>
      <c r="J31" s="9">
        <v>203536</v>
      </c>
      <c r="K31" s="14">
        <v>31602</v>
      </c>
      <c r="L31" s="3"/>
    </row>
    <row r="32" spans="1:12" x14ac:dyDescent="0.15">
      <c r="A32" s="3"/>
      <c r="B32" s="13">
        <v>29</v>
      </c>
      <c r="C32" s="9">
        <v>225</v>
      </c>
      <c r="D32" s="9">
        <v>79</v>
      </c>
      <c r="E32" s="9">
        <v>106</v>
      </c>
      <c r="F32" s="9">
        <v>87</v>
      </c>
      <c r="G32" s="9">
        <v>81</v>
      </c>
      <c r="H32" s="9">
        <v>75</v>
      </c>
      <c r="I32" s="9">
        <v>27</v>
      </c>
      <c r="J32" s="9">
        <v>235138</v>
      </c>
      <c r="K32" s="14">
        <v>36539</v>
      </c>
      <c r="L32" s="3"/>
    </row>
    <row r="33" spans="1:12" x14ac:dyDescent="0.15">
      <c r="A33" s="3"/>
      <c r="B33" s="15">
        <v>30</v>
      </c>
      <c r="C33" s="10">
        <v>230</v>
      </c>
      <c r="D33" s="10">
        <v>81</v>
      </c>
      <c r="E33" s="10">
        <v>110</v>
      </c>
      <c r="F33" s="10">
        <v>89</v>
      </c>
      <c r="G33" s="10">
        <v>83</v>
      </c>
      <c r="H33" s="10">
        <v>77</v>
      </c>
      <c r="I33" s="10">
        <v>28</v>
      </c>
      <c r="J33" s="10">
        <v>271677</v>
      </c>
      <c r="K33" s="16">
        <v>39964</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4"/>
  <sheetViews>
    <sheetView workbookViewId="0">
      <selection activeCell="C26" sqref="C26"/>
    </sheetView>
  </sheetViews>
  <sheetFormatPr defaultColWidth="5.625" defaultRowHeight="11.25" x14ac:dyDescent="0.15"/>
  <cols>
    <col min="1" max="16384" width="5.625" style="1"/>
  </cols>
  <sheetData>
    <row r="1" spans="1:12" ht="11.25" customHeight="1" x14ac:dyDescent="0.15">
      <c r="A1" s="302" t="s">
        <v>193</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8">
        <v>0</v>
      </c>
      <c r="L4" s="113"/>
    </row>
    <row r="5" spans="1:12" x14ac:dyDescent="0.15">
      <c r="A5" s="113"/>
      <c r="B5" s="13">
        <v>2</v>
      </c>
      <c r="C5" s="9">
        <v>0</v>
      </c>
      <c r="D5" s="9">
        <v>0</v>
      </c>
      <c r="E5" s="9">
        <v>0</v>
      </c>
      <c r="F5" s="9">
        <v>0</v>
      </c>
      <c r="G5" s="9">
        <v>0</v>
      </c>
      <c r="H5" s="9">
        <v>0</v>
      </c>
      <c r="I5" s="9">
        <v>0</v>
      </c>
      <c r="J5" s="9">
        <v>0</v>
      </c>
      <c r="K5" s="9">
        <v>0</v>
      </c>
      <c r="L5" s="113"/>
    </row>
    <row r="6" spans="1:12" x14ac:dyDescent="0.15">
      <c r="A6" s="113"/>
      <c r="B6" s="13">
        <v>3</v>
      </c>
      <c r="C6" s="9">
        <v>0</v>
      </c>
      <c r="D6" s="9">
        <v>0</v>
      </c>
      <c r="E6" s="9">
        <v>0</v>
      </c>
      <c r="F6" s="9">
        <v>0</v>
      </c>
      <c r="G6" s="9">
        <v>0</v>
      </c>
      <c r="H6" s="9">
        <v>0</v>
      </c>
      <c r="I6" s="9">
        <v>0</v>
      </c>
      <c r="J6" s="9">
        <v>0</v>
      </c>
      <c r="K6" s="9">
        <v>0</v>
      </c>
      <c r="L6" s="113"/>
    </row>
    <row r="7" spans="1:12" x14ac:dyDescent="0.15">
      <c r="A7" s="113"/>
      <c r="B7" s="13">
        <v>4</v>
      </c>
      <c r="C7" s="9">
        <v>0</v>
      </c>
      <c r="D7" s="9">
        <v>0</v>
      </c>
      <c r="E7" s="9">
        <v>0</v>
      </c>
      <c r="F7" s="9">
        <v>0</v>
      </c>
      <c r="G7" s="9">
        <v>0</v>
      </c>
      <c r="H7" s="9">
        <v>0</v>
      </c>
      <c r="I7" s="9">
        <v>0</v>
      </c>
      <c r="J7" s="9">
        <v>0</v>
      </c>
      <c r="K7" s="9">
        <v>0</v>
      </c>
      <c r="L7" s="113"/>
    </row>
    <row r="8" spans="1:12" x14ac:dyDescent="0.15">
      <c r="A8" s="113"/>
      <c r="B8" s="13">
        <v>5</v>
      </c>
      <c r="C8" s="9">
        <v>0</v>
      </c>
      <c r="D8" s="9">
        <v>0</v>
      </c>
      <c r="E8" s="9">
        <v>0</v>
      </c>
      <c r="F8" s="9">
        <v>0</v>
      </c>
      <c r="G8" s="9">
        <v>0</v>
      </c>
      <c r="H8" s="9">
        <v>0</v>
      </c>
      <c r="I8" s="9">
        <v>0</v>
      </c>
      <c r="J8" s="9">
        <v>0</v>
      </c>
      <c r="K8" s="9">
        <v>0</v>
      </c>
      <c r="L8" s="113"/>
    </row>
    <row r="9" spans="1:12" x14ac:dyDescent="0.15">
      <c r="A9" s="113"/>
      <c r="B9" s="13">
        <v>6</v>
      </c>
      <c r="C9" s="9">
        <v>0</v>
      </c>
      <c r="D9" s="9">
        <v>0</v>
      </c>
      <c r="E9" s="9">
        <v>0</v>
      </c>
      <c r="F9" s="9">
        <v>0</v>
      </c>
      <c r="G9" s="9">
        <v>0</v>
      </c>
      <c r="H9" s="9">
        <v>0</v>
      </c>
      <c r="I9" s="9">
        <v>0</v>
      </c>
      <c r="J9" s="9">
        <v>0</v>
      </c>
      <c r="K9" s="9">
        <v>0</v>
      </c>
      <c r="L9" s="113"/>
    </row>
    <row r="10" spans="1:12" x14ac:dyDescent="0.15">
      <c r="A10" s="113"/>
      <c r="B10" s="13">
        <v>7</v>
      </c>
      <c r="C10" s="9">
        <v>0</v>
      </c>
      <c r="D10" s="9">
        <v>0</v>
      </c>
      <c r="E10" s="9">
        <v>0</v>
      </c>
      <c r="F10" s="9">
        <v>0</v>
      </c>
      <c r="G10" s="9">
        <v>0</v>
      </c>
      <c r="H10" s="9">
        <v>0</v>
      </c>
      <c r="I10" s="9">
        <v>0</v>
      </c>
      <c r="J10" s="9">
        <v>0</v>
      </c>
      <c r="K10" s="9">
        <v>0</v>
      </c>
      <c r="L10" s="113"/>
    </row>
    <row r="11" spans="1:12" x14ac:dyDescent="0.15">
      <c r="A11" s="113"/>
      <c r="B11" s="13">
        <v>8</v>
      </c>
      <c r="C11" s="9">
        <v>0</v>
      </c>
      <c r="D11" s="9">
        <v>0</v>
      </c>
      <c r="E11" s="9">
        <v>0</v>
      </c>
      <c r="F11" s="9">
        <v>0</v>
      </c>
      <c r="G11" s="9">
        <v>0</v>
      </c>
      <c r="H11" s="9">
        <v>0</v>
      </c>
      <c r="I11" s="9">
        <v>0</v>
      </c>
      <c r="J11" s="9">
        <v>0</v>
      </c>
      <c r="K11" s="9">
        <v>0</v>
      </c>
      <c r="L11" s="113"/>
    </row>
    <row r="12" spans="1:12" x14ac:dyDescent="0.15">
      <c r="A12" s="113"/>
      <c r="B12" s="13">
        <v>9</v>
      </c>
      <c r="C12" s="9">
        <v>0</v>
      </c>
      <c r="D12" s="9">
        <v>0</v>
      </c>
      <c r="E12" s="9">
        <v>0</v>
      </c>
      <c r="F12" s="9">
        <v>0</v>
      </c>
      <c r="G12" s="9">
        <v>0</v>
      </c>
      <c r="H12" s="9">
        <v>0</v>
      </c>
      <c r="I12" s="9">
        <v>0</v>
      </c>
      <c r="J12" s="9">
        <v>0</v>
      </c>
      <c r="K12" s="9">
        <v>0</v>
      </c>
      <c r="L12" s="113"/>
    </row>
    <row r="13" spans="1:12" x14ac:dyDescent="0.15">
      <c r="A13" s="113"/>
      <c r="B13" s="13">
        <v>10</v>
      </c>
      <c r="C13" s="9">
        <v>0</v>
      </c>
      <c r="D13" s="9">
        <v>0</v>
      </c>
      <c r="E13" s="9">
        <v>0</v>
      </c>
      <c r="F13" s="9">
        <v>0</v>
      </c>
      <c r="G13" s="9">
        <v>0</v>
      </c>
      <c r="H13" s="9">
        <v>0</v>
      </c>
      <c r="I13" s="9">
        <v>0</v>
      </c>
      <c r="J13" s="9">
        <v>0</v>
      </c>
      <c r="K13" s="9">
        <v>0</v>
      </c>
      <c r="L13" s="113"/>
    </row>
    <row r="14" spans="1:12" x14ac:dyDescent="0.15">
      <c r="A14" s="113"/>
      <c r="B14" s="13">
        <v>11</v>
      </c>
      <c r="C14" s="9">
        <v>0</v>
      </c>
      <c r="D14" s="9">
        <v>0</v>
      </c>
      <c r="E14" s="9">
        <v>0</v>
      </c>
      <c r="F14" s="9">
        <v>0</v>
      </c>
      <c r="G14" s="9">
        <v>0</v>
      </c>
      <c r="H14" s="9">
        <v>0</v>
      </c>
      <c r="I14" s="9">
        <v>0</v>
      </c>
      <c r="J14" s="9">
        <v>0</v>
      </c>
      <c r="K14" s="9">
        <v>0</v>
      </c>
      <c r="L14" s="113"/>
    </row>
    <row r="15" spans="1:12" x14ac:dyDescent="0.15">
      <c r="A15" s="113"/>
      <c r="B15" s="13">
        <v>12</v>
      </c>
      <c r="C15" s="9">
        <v>0</v>
      </c>
      <c r="D15" s="9">
        <v>0</v>
      </c>
      <c r="E15" s="9">
        <v>0</v>
      </c>
      <c r="F15" s="9">
        <v>0</v>
      </c>
      <c r="G15" s="9">
        <v>0</v>
      </c>
      <c r="H15" s="9">
        <v>0</v>
      </c>
      <c r="I15" s="9">
        <v>0</v>
      </c>
      <c r="J15" s="9">
        <v>0</v>
      </c>
      <c r="K15" s="9">
        <v>0</v>
      </c>
      <c r="L15" s="113"/>
    </row>
    <row r="16" spans="1:12" x14ac:dyDescent="0.15">
      <c r="A16" s="113"/>
      <c r="B16" s="13">
        <v>13</v>
      </c>
      <c r="C16" s="9">
        <v>0</v>
      </c>
      <c r="D16" s="9">
        <v>0</v>
      </c>
      <c r="E16" s="9">
        <v>0</v>
      </c>
      <c r="F16" s="9">
        <v>0</v>
      </c>
      <c r="G16" s="9">
        <v>0</v>
      </c>
      <c r="H16" s="9">
        <v>0</v>
      </c>
      <c r="I16" s="9">
        <v>0</v>
      </c>
      <c r="J16" s="9">
        <v>0</v>
      </c>
      <c r="K16" s="9">
        <v>0</v>
      </c>
      <c r="L16" s="113"/>
    </row>
    <row r="17" spans="1:12" x14ac:dyDescent="0.15">
      <c r="A17" s="113"/>
      <c r="B17" s="13">
        <v>14</v>
      </c>
      <c r="C17" s="9">
        <v>0</v>
      </c>
      <c r="D17" s="9">
        <v>0</v>
      </c>
      <c r="E17" s="9">
        <v>0</v>
      </c>
      <c r="F17" s="9">
        <v>0</v>
      </c>
      <c r="G17" s="9">
        <v>0</v>
      </c>
      <c r="H17" s="9">
        <v>0</v>
      </c>
      <c r="I17" s="9">
        <v>0</v>
      </c>
      <c r="J17" s="9">
        <v>0</v>
      </c>
      <c r="K17" s="9">
        <v>0</v>
      </c>
      <c r="L17" s="113"/>
    </row>
    <row r="18" spans="1:12" x14ac:dyDescent="0.15">
      <c r="A18" s="113"/>
      <c r="B18" s="13">
        <v>15</v>
      </c>
      <c r="C18" s="9">
        <v>0</v>
      </c>
      <c r="D18" s="9">
        <v>0</v>
      </c>
      <c r="E18" s="9">
        <v>0</v>
      </c>
      <c r="F18" s="9">
        <v>0</v>
      </c>
      <c r="G18" s="9">
        <v>0</v>
      </c>
      <c r="H18" s="9">
        <v>0</v>
      </c>
      <c r="I18" s="9">
        <v>0</v>
      </c>
      <c r="J18" s="9">
        <v>0</v>
      </c>
      <c r="K18" s="9">
        <v>0</v>
      </c>
      <c r="L18" s="113"/>
    </row>
    <row r="19" spans="1:12" x14ac:dyDescent="0.15">
      <c r="A19" s="113"/>
      <c r="B19" s="13">
        <v>16</v>
      </c>
      <c r="C19" s="9">
        <v>0</v>
      </c>
      <c r="D19" s="9">
        <v>0</v>
      </c>
      <c r="E19" s="9">
        <v>0</v>
      </c>
      <c r="F19" s="9">
        <v>0</v>
      </c>
      <c r="G19" s="9">
        <v>0</v>
      </c>
      <c r="H19" s="9">
        <v>0</v>
      </c>
      <c r="I19" s="9">
        <v>0</v>
      </c>
      <c r="J19" s="9">
        <v>0</v>
      </c>
      <c r="K19" s="9">
        <v>0</v>
      </c>
      <c r="L19" s="113"/>
    </row>
    <row r="20" spans="1:12" x14ac:dyDescent="0.15">
      <c r="A20" s="113"/>
      <c r="B20" s="13">
        <v>17</v>
      </c>
      <c r="C20" s="9">
        <v>0</v>
      </c>
      <c r="D20" s="9">
        <v>0</v>
      </c>
      <c r="E20" s="9">
        <v>0</v>
      </c>
      <c r="F20" s="9">
        <v>0</v>
      </c>
      <c r="G20" s="9">
        <v>0</v>
      </c>
      <c r="H20" s="9">
        <v>0</v>
      </c>
      <c r="I20" s="9">
        <v>0</v>
      </c>
      <c r="J20" s="9">
        <v>0</v>
      </c>
      <c r="K20" s="9">
        <v>0</v>
      </c>
      <c r="L20" s="113"/>
    </row>
    <row r="21" spans="1:12" x14ac:dyDescent="0.15">
      <c r="A21" s="113"/>
      <c r="B21" s="13">
        <v>18</v>
      </c>
      <c r="C21" s="9">
        <v>0</v>
      </c>
      <c r="D21" s="9">
        <v>0</v>
      </c>
      <c r="E21" s="9">
        <v>0</v>
      </c>
      <c r="F21" s="9">
        <v>0</v>
      </c>
      <c r="G21" s="9">
        <v>0</v>
      </c>
      <c r="H21" s="9">
        <v>0</v>
      </c>
      <c r="I21" s="9">
        <v>0</v>
      </c>
      <c r="J21" s="9">
        <v>0</v>
      </c>
      <c r="K21" s="9">
        <v>0</v>
      </c>
      <c r="L21" s="113"/>
    </row>
    <row r="22" spans="1:12" x14ac:dyDescent="0.15">
      <c r="A22" s="113"/>
      <c r="B22" s="13">
        <v>19</v>
      </c>
      <c r="C22" s="9">
        <v>0</v>
      </c>
      <c r="D22" s="9">
        <v>0</v>
      </c>
      <c r="E22" s="9">
        <v>0</v>
      </c>
      <c r="F22" s="9">
        <v>0</v>
      </c>
      <c r="G22" s="9">
        <v>0</v>
      </c>
      <c r="H22" s="9">
        <v>0</v>
      </c>
      <c r="I22" s="9">
        <v>0</v>
      </c>
      <c r="J22" s="9">
        <v>0</v>
      </c>
      <c r="K22" s="9">
        <v>0</v>
      </c>
      <c r="L22" s="113"/>
    </row>
    <row r="23" spans="1:12" x14ac:dyDescent="0.15">
      <c r="A23" s="113"/>
      <c r="B23" s="13">
        <v>20</v>
      </c>
      <c r="C23" s="9">
        <v>0</v>
      </c>
      <c r="D23" s="9">
        <v>0</v>
      </c>
      <c r="E23" s="9">
        <v>0</v>
      </c>
      <c r="F23" s="9">
        <v>0</v>
      </c>
      <c r="G23" s="9">
        <v>0</v>
      </c>
      <c r="H23" s="9">
        <v>0</v>
      </c>
      <c r="I23" s="9">
        <v>0</v>
      </c>
      <c r="J23" s="9">
        <v>0</v>
      </c>
      <c r="K23" s="9">
        <v>0</v>
      </c>
      <c r="L23" s="113"/>
    </row>
    <row r="24" spans="1:12" x14ac:dyDescent="0.15">
      <c r="A24" s="113"/>
      <c r="B24" s="13">
        <v>21</v>
      </c>
      <c r="C24" s="9">
        <v>0</v>
      </c>
      <c r="D24" s="9">
        <v>0</v>
      </c>
      <c r="E24" s="9">
        <v>0</v>
      </c>
      <c r="F24" s="9">
        <v>0</v>
      </c>
      <c r="G24" s="9">
        <v>0</v>
      </c>
      <c r="H24" s="9">
        <v>0</v>
      </c>
      <c r="I24" s="9">
        <v>0</v>
      </c>
      <c r="J24" s="9">
        <v>0</v>
      </c>
      <c r="K24" s="9">
        <v>0</v>
      </c>
      <c r="L24" s="113"/>
    </row>
    <row r="25" spans="1:12" x14ac:dyDescent="0.15">
      <c r="A25" s="113"/>
      <c r="B25" s="13">
        <v>22</v>
      </c>
      <c r="C25" s="9">
        <v>0</v>
      </c>
      <c r="D25" s="9">
        <v>0</v>
      </c>
      <c r="E25" s="9">
        <v>0</v>
      </c>
      <c r="F25" s="9">
        <v>0</v>
      </c>
      <c r="G25" s="9">
        <v>0</v>
      </c>
      <c r="H25" s="9">
        <v>0</v>
      </c>
      <c r="I25" s="9">
        <v>0</v>
      </c>
      <c r="J25" s="9">
        <v>0</v>
      </c>
      <c r="K25" s="9">
        <v>0</v>
      </c>
      <c r="L25" s="113"/>
    </row>
    <row r="26" spans="1:12" x14ac:dyDescent="0.15">
      <c r="A26" s="3"/>
      <c r="B26" s="13">
        <v>23</v>
      </c>
      <c r="C26" s="9">
        <v>216</v>
      </c>
      <c r="D26" s="9">
        <v>76</v>
      </c>
      <c r="E26" s="9">
        <v>76</v>
      </c>
      <c r="F26" s="9">
        <v>56</v>
      </c>
      <c r="G26" s="9">
        <v>110</v>
      </c>
      <c r="H26" s="9">
        <v>80</v>
      </c>
      <c r="I26" s="9">
        <v>38</v>
      </c>
      <c r="J26" s="9">
        <v>120752</v>
      </c>
      <c r="K26" s="14">
        <v>15448</v>
      </c>
      <c r="L26" s="3"/>
    </row>
    <row r="27" spans="1:12" x14ac:dyDescent="0.15">
      <c r="A27" s="3"/>
      <c r="B27" s="13">
        <v>24</v>
      </c>
      <c r="C27" s="9">
        <v>218</v>
      </c>
      <c r="D27" s="9">
        <v>78</v>
      </c>
      <c r="E27" s="9">
        <v>78</v>
      </c>
      <c r="F27" s="9">
        <v>57</v>
      </c>
      <c r="G27" s="9">
        <v>111</v>
      </c>
      <c r="H27" s="9">
        <v>80</v>
      </c>
      <c r="I27" s="9">
        <v>39</v>
      </c>
      <c r="J27" s="9">
        <v>136200</v>
      </c>
      <c r="K27" s="14">
        <v>16413</v>
      </c>
      <c r="L27" s="3"/>
    </row>
    <row r="28" spans="1:12" x14ac:dyDescent="0.15">
      <c r="A28" s="3"/>
      <c r="B28" s="13">
        <v>25</v>
      </c>
      <c r="C28" s="9">
        <v>220</v>
      </c>
      <c r="D28" s="9">
        <v>80</v>
      </c>
      <c r="E28" s="9">
        <v>80</v>
      </c>
      <c r="F28" s="9">
        <v>57</v>
      </c>
      <c r="G28" s="9">
        <v>112</v>
      </c>
      <c r="H28" s="9">
        <v>81</v>
      </c>
      <c r="I28" s="9">
        <v>39</v>
      </c>
      <c r="J28" s="9">
        <v>152613</v>
      </c>
      <c r="K28" s="14">
        <v>17438</v>
      </c>
      <c r="L28" s="3"/>
    </row>
    <row r="29" spans="1:12" x14ac:dyDescent="0.15">
      <c r="A29" s="3"/>
      <c r="B29" s="13">
        <v>26</v>
      </c>
      <c r="C29" s="9">
        <v>222</v>
      </c>
      <c r="D29" s="9">
        <v>82</v>
      </c>
      <c r="E29" s="9">
        <v>82</v>
      </c>
      <c r="F29" s="9">
        <v>58</v>
      </c>
      <c r="G29" s="9">
        <v>113</v>
      </c>
      <c r="H29" s="9">
        <v>82</v>
      </c>
      <c r="I29" s="9">
        <v>39</v>
      </c>
      <c r="J29" s="9">
        <v>170051</v>
      </c>
      <c r="K29" s="14">
        <v>18527</v>
      </c>
      <c r="L29" s="3"/>
    </row>
    <row r="30" spans="1:12" x14ac:dyDescent="0.15">
      <c r="A30" s="3"/>
      <c r="B30" s="13">
        <v>27</v>
      </c>
      <c r="C30" s="9">
        <v>224</v>
      </c>
      <c r="D30" s="9">
        <v>84</v>
      </c>
      <c r="E30" s="9">
        <v>84</v>
      </c>
      <c r="F30" s="9">
        <v>58</v>
      </c>
      <c r="G30" s="9">
        <v>114</v>
      </c>
      <c r="H30" s="9">
        <v>82</v>
      </c>
      <c r="I30" s="9">
        <v>40</v>
      </c>
      <c r="J30" s="9">
        <v>188578</v>
      </c>
      <c r="K30" s="14">
        <v>19684</v>
      </c>
      <c r="L30" s="3"/>
    </row>
    <row r="31" spans="1:12" x14ac:dyDescent="0.15">
      <c r="A31" s="3"/>
      <c r="B31" s="13">
        <v>28</v>
      </c>
      <c r="C31" s="9">
        <v>226</v>
      </c>
      <c r="D31" s="9">
        <v>86</v>
      </c>
      <c r="E31" s="9">
        <v>86</v>
      </c>
      <c r="F31" s="9">
        <v>59</v>
      </c>
      <c r="G31" s="9">
        <v>115</v>
      </c>
      <c r="H31" s="9">
        <v>83</v>
      </c>
      <c r="I31" s="9">
        <v>40</v>
      </c>
      <c r="J31" s="9">
        <v>208262</v>
      </c>
      <c r="K31" s="14">
        <v>20914</v>
      </c>
      <c r="L31" s="3"/>
    </row>
    <row r="32" spans="1:12" x14ac:dyDescent="0.15">
      <c r="A32" s="3"/>
      <c r="B32" s="13">
        <v>29</v>
      </c>
      <c r="C32" s="9">
        <v>228</v>
      </c>
      <c r="D32" s="9">
        <v>88</v>
      </c>
      <c r="E32" s="9">
        <v>88</v>
      </c>
      <c r="F32" s="9">
        <v>59</v>
      </c>
      <c r="G32" s="9">
        <v>116</v>
      </c>
      <c r="H32" s="9">
        <v>84</v>
      </c>
      <c r="I32" s="9">
        <v>40</v>
      </c>
      <c r="J32" s="9">
        <v>229176</v>
      </c>
      <c r="K32" s="14">
        <v>22221</v>
      </c>
      <c r="L32" s="3"/>
    </row>
    <row r="33" spans="1:12" x14ac:dyDescent="0.15">
      <c r="A33" s="3"/>
      <c r="B33" s="15">
        <v>30</v>
      </c>
      <c r="C33" s="10">
        <v>230</v>
      </c>
      <c r="D33" s="10">
        <v>90</v>
      </c>
      <c r="E33" s="10">
        <v>90</v>
      </c>
      <c r="F33" s="10">
        <v>60</v>
      </c>
      <c r="G33" s="10">
        <v>118</v>
      </c>
      <c r="H33" s="10">
        <v>85</v>
      </c>
      <c r="I33" s="10">
        <v>41</v>
      </c>
      <c r="J33" s="10">
        <v>251397</v>
      </c>
      <c r="K33" s="16">
        <v>24998</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4"/>
  <sheetViews>
    <sheetView workbookViewId="0">
      <selection activeCell="H4" sqref="H4"/>
    </sheetView>
  </sheetViews>
  <sheetFormatPr defaultColWidth="5.625" defaultRowHeight="11.25" x14ac:dyDescent="0.15"/>
  <cols>
    <col min="1" max="16384" width="5.625" style="1"/>
  </cols>
  <sheetData>
    <row r="1" spans="1:12" ht="11.25" customHeight="1" x14ac:dyDescent="0.15">
      <c r="A1" s="302" t="s">
        <v>197</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113"/>
      <c r="B4" s="11">
        <v>1</v>
      </c>
      <c r="C4" s="8">
        <v>0</v>
      </c>
      <c r="D4" s="8">
        <v>0</v>
      </c>
      <c r="E4" s="8">
        <v>0</v>
      </c>
      <c r="F4" s="8">
        <v>0</v>
      </c>
      <c r="G4" s="8">
        <v>0</v>
      </c>
      <c r="H4" s="8">
        <v>0</v>
      </c>
      <c r="I4" s="8">
        <v>0</v>
      </c>
      <c r="J4" s="8">
        <v>0</v>
      </c>
      <c r="K4" s="8">
        <v>0</v>
      </c>
      <c r="L4" s="113"/>
    </row>
    <row r="5" spans="1:12" x14ac:dyDescent="0.15">
      <c r="A5" s="113"/>
      <c r="B5" s="13">
        <v>2</v>
      </c>
      <c r="C5" s="9">
        <v>0</v>
      </c>
      <c r="D5" s="9">
        <v>0</v>
      </c>
      <c r="E5" s="9">
        <v>0</v>
      </c>
      <c r="F5" s="9">
        <v>0</v>
      </c>
      <c r="G5" s="9">
        <v>0</v>
      </c>
      <c r="H5" s="9">
        <v>0</v>
      </c>
      <c r="I5" s="9">
        <v>0</v>
      </c>
      <c r="J5" s="9">
        <v>0</v>
      </c>
      <c r="K5" s="9">
        <v>0</v>
      </c>
      <c r="L5" s="113"/>
    </row>
    <row r="6" spans="1:12" x14ac:dyDescent="0.15">
      <c r="A6" s="113"/>
      <c r="B6" s="13">
        <v>3</v>
      </c>
      <c r="C6" s="9">
        <v>0</v>
      </c>
      <c r="D6" s="9">
        <v>0</v>
      </c>
      <c r="E6" s="9">
        <v>0</v>
      </c>
      <c r="F6" s="9">
        <v>0</v>
      </c>
      <c r="G6" s="9">
        <v>0</v>
      </c>
      <c r="H6" s="9">
        <v>0</v>
      </c>
      <c r="I6" s="9">
        <v>0</v>
      </c>
      <c r="J6" s="9">
        <v>0</v>
      </c>
      <c r="K6" s="9">
        <v>0</v>
      </c>
      <c r="L6" s="113"/>
    </row>
    <row r="7" spans="1:12" x14ac:dyDescent="0.15">
      <c r="A7" s="113"/>
      <c r="B7" s="13">
        <v>4</v>
      </c>
      <c r="C7" s="9">
        <v>0</v>
      </c>
      <c r="D7" s="9">
        <v>0</v>
      </c>
      <c r="E7" s="9">
        <v>0</v>
      </c>
      <c r="F7" s="9">
        <v>0</v>
      </c>
      <c r="G7" s="9">
        <v>0</v>
      </c>
      <c r="H7" s="9">
        <v>0</v>
      </c>
      <c r="I7" s="9">
        <v>0</v>
      </c>
      <c r="J7" s="9">
        <v>0</v>
      </c>
      <c r="K7" s="9">
        <v>0</v>
      </c>
      <c r="L7" s="113"/>
    </row>
    <row r="8" spans="1:12" x14ac:dyDescent="0.15">
      <c r="A8" s="3"/>
      <c r="B8" s="13">
        <v>5</v>
      </c>
      <c r="C8" s="9">
        <v>240</v>
      </c>
      <c r="D8" s="9">
        <v>50</v>
      </c>
      <c r="E8" s="9">
        <v>130</v>
      </c>
      <c r="F8" s="9">
        <v>150</v>
      </c>
      <c r="G8" s="9">
        <v>77</v>
      </c>
      <c r="H8" s="9">
        <v>110</v>
      </c>
      <c r="I8" s="9">
        <v>20</v>
      </c>
      <c r="J8" s="9">
        <v>39932</v>
      </c>
      <c r="K8" s="14">
        <v>16575</v>
      </c>
      <c r="L8" s="3"/>
    </row>
    <row r="9" spans="1:12" x14ac:dyDescent="0.15">
      <c r="A9" s="3"/>
      <c r="B9" s="13">
        <v>6</v>
      </c>
      <c r="C9" s="9">
        <v>252</v>
      </c>
      <c r="D9" s="9">
        <v>56</v>
      </c>
      <c r="E9" s="9">
        <v>131</v>
      </c>
      <c r="F9" s="9">
        <v>150</v>
      </c>
      <c r="G9" s="9">
        <v>78</v>
      </c>
      <c r="H9" s="9">
        <v>112</v>
      </c>
      <c r="I9" s="9">
        <v>20</v>
      </c>
      <c r="J9" s="9">
        <v>56507</v>
      </c>
      <c r="K9" s="14">
        <v>18646</v>
      </c>
      <c r="L9" s="3"/>
    </row>
    <row r="10" spans="1:12" x14ac:dyDescent="0.15">
      <c r="A10" s="3"/>
      <c r="B10" s="13">
        <v>7</v>
      </c>
      <c r="C10" s="9">
        <v>264</v>
      </c>
      <c r="D10" s="9">
        <v>62</v>
      </c>
      <c r="E10" s="9">
        <v>132</v>
      </c>
      <c r="F10" s="9">
        <v>150</v>
      </c>
      <c r="G10" s="9">
        <v>79</v>
      </c>
      <c r="H10" s="9">
        <v>114</v>
      </c>
      <c r="I10" s="9">
        <v>20</v>
      </c>
      <c r="J10" s="9">
        <v>75153</v>
      </c>
      <c r="K10" s="14">
        <v>20976</v>
      </c>
      <c r="L10" s="3"/>
    </row>
    <row r="11" spans="1:12" x14ac:dyDescent="0.15">
      <c r="A11" s="3"/>
      <c r="B11" s="13">
        <v>8</v>
      </c>
      <c r="C11" s="9">
        <v>276</v>
      </c>
      <c r="D11" s="9">
        <v>68</v>
      </c>
      <c r="E11" s="9">
        <v>133</v>
      </c>
      <c r="F11" s="9">
        <v>150</v>
      </c>
      <c r="G11" s="9">
        <v>80</v>
      </c>
      <c r="H11" s="9">
        <v>116</v>
      </c>
      <c r="I11" s="9">
        <v>20</v>
      </c>
      <c r="J11" s="9">
        <v>96129</v>
      </c>
      <c r="K11" s="14">
        <v>23598</v>
      </c>
      <c r="L11" s="3"/>
    </row>
    <row r="12" spans="1:12" x14ac:dyDescent="0.15">
      <c r="A12" s="3"/>
      <c r="B12" s="13">
        <v>9</v>
      </c>
      <c r="C12" s="9">
        <v>288</v>
      </c>
      <c r="D12" s="9">
        <v>74</v>
      </c>
      <c r="E12" s="9">
        <v>134</v>
      </c>
      <c r="F12" s="9">
        <v>150</v>
      </c>
      <c r="G12" s="9">
        <v>81</v>
      </c>
      <c r="H12" s="9">
        <v>118</v>
      </c>
      <c r="I12" s="9">
        <v>20</v>
      </c>
      <c r="J12" s="9">
        <v>119727</v>
      </c>
      <c r="K12" s="14">
        <v>26547</v>
      </c>
      <c r="L12" s="3"/>
    </row>
    <row r="13" spans="1:12" x14ac:dyDescent="0.15">
      <c r="A13" s="3"/>
      <c r="B13" s="13">
        <v>10</v>
      </c>
      <c r="C13" s="9">
        <v>300</v>
      </c>
      <c r="D13" s="9">
        <v>80</v>
      </c>
      <c r="E13" s="9">
        <v>135</v>
      </c>
      <c r="F13" s="9">
        <v>150</v>
      </c>
      <c r="G13" s="9">
        <v>82</v>
      </c>
      <c r="H13" s="9">
        <v>120</v>
      </c>
      <c r="I13" s="9">
        <v>21</v>
      </c>
      <c r="J13" s="9">
        <v>146274</v>
      </c>
      <c r="K13" s="14">
        <v>27376</v>
      </c>
      <c r="L13" s="3"/>
    </row>
    <row r="14" spans="1:12" x14ac:dyDescent="0.15">
      <c r="A14" s="3"/>
      <c r="B14" s="5" t="s">
        <v>172</v>
      </c>
      <c r="C14" s="5" t="s">
        <v>173</v>
      </c>
      <c r="D14" s="5" t="s">
        <v>174</v>
      </c>
      <c r="E14" s="5" t="s">
        <v>175</v>
      </c>
      <c r="F14" s="5" t="s">
        <v>177</v>
      </c>
      <c r="G14" s="5" t="s">
        <v>176</v>
      </c>
      <c r="H14" s="5" t="s">
        <v>178</v>
      </c>
      <c r="I14" s="5" t="s">
        <v>179</v>
      </c>
      <c r="J14" s="5" t="s">
        <v>180</v>
      </c>
      <c r="K14" s="5" t="s">
        <v>181</v>
      </c>
      <c r="L14" s="3"/>
    </row>
  </sheetData>
  <mergeCells count="1">
    <mergeCell ref="A1:L2"/>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84"/>
  <sheetViews>
    <sheetView topLeftCell="A10" zoomScaleNormal="100" workbookViewId="0">
      <selection activeCell="B33" sqref="B33:B36"/>
    </sheetView>
  </sheetViews>
  <sheetFormatPr defaultRowHeight="11.25" x14ac:dyDescent="0.15"/>
  <cols>
    <col min="1" max="1" width="2.625" style="1" customWidth="1"/>
    <col min="2" max="2" width="13.625" style="1" customWidth="1"/>
    <col min="3" max="23" width="4.625" style="1" customWidth="1"/>
    <col min="24" max="24" width="2.625" style="1" customWidth="1"/>
    <col min="25" max="16384" width="9" style="1"/>
  </cols>
  <sheetData>
    <row r="1" spans="1:25" x14ac:dyDescent="0.15">
      <c r="A1" s="3"/>
      <c r="B1" s="304" t="s">
        <v>400</v>
      </c>
      <c r="C1" s="305"/>
      <c r="D1" s="305"/>
      <c r="E1" s="305"/>
      <c r="F1" s="305"/>
      <c r="G1" s="305"/>
      <c r="H1" s="305"/>
      <c r="I1" s="305"/>
      <c r="J1" s="305"/>
      <c r="K1" s="305"/>
      <c r="L1" s="305"/>
      <c r="M1" s="305"/>
      <c r="N1" s="305"/>
      <c r="O1" s="305"/>
      <c r="P1" s="305"/>
      <c r="Q1" s="305"/>
      <c r="R1" s="305"/>
      <c r="S1" s="305"/>
      <c r="T1" s="305"/>
      <c r="U1" s="305"/>
      <c r="V1" s="305"/>
      <c r="W1" s="305"/>
      <c r="X1" s="3"/>
    </row>
    <row r="2" spans="1:25" x14ac:dyDescent="0.15">
      <c r="A2" s="3"/>
      <c r="B2" s="306"/>
      <c r="C2" s="306"/>
      <c r="D2" s="306"/>
      <c r="E2" s="306"/>
      <c r="F2" s="306"/>
      <c r="G2" s="306"/>
      <c r="H2" s="306"/>
      <c r="I2" s="306"/>
      <c r="J2" s="306"/>
      <c r="K2" s="306"/>
      <c r="L2" s="306"/>
      <c r="M2" s="306"/>
      <c r="N2" s="306"/>
      <c r="O2" s="306"/>
      <c r="P2" s="306"/>
      <c r="Q2" s="306"/>
      <c r="R2" s="306"/>
      <c r="S2" s="306"/>
      <c r="T2" s="306"/>
      <c r="U2" s="306"/>
      <c r="V2" s="306"/>
      <c r="W2" s="306"/>
      <c r="X2" s="3"/>
    </row>
    <row r="3" spans="1:25" x14ac:dyDescent="0.15">
      <c r="A3" s="3"/>
      <c r="B3" s="22" t="s">
        <v>251</v>
      </c>
      <c r="C3" s="22" t="s">
        <v>260</v>
      </c>
      <c r="D3" s="22" t="s">
        <v>318</v>
      </c>
      <c r="E3" s="22" t="s">
        <v>261</v>
      </c>
      <c r="F3" s="22" t="s">
        <v>262</v>
      </c>
      <c r="G3" s="22" t="s">
        <v>257</v>
      </c>
      <c r="H3" s="22" t="s">
        <v>319</v>
      </c>
      <c r="I3" s="25" t="s">
        <v>448</v>
      </c>
      <c r="J3" s="25" t="s">
        <v>317</v>
      </c>
      <c r="K3" s="26" t="s">
        <v>220</v>
      </c>
      <c r="L3" s="26" t="s">
        <v>457</v>
      </c>
      <c r="M3" s="26" t="s">
        <v>327</v>
      </c>
      <c r="N3" s="26" t="s">
        <v>328</v>
      </c>
      <c r="O3" s="26" t="s">
        <v>326</v>
      </c>
      <c r="P3" s="26" t="s">
        <v>325</v>
      </c>
      <c r="Q3" s="26" t="s">
        <v>324</v>
      </c>
      <c r="R3" s="26" t="s">
        <v>323</v>
      </c>
      <c r="S3" s="26" t="s">
        <v>322</v>
      </c>
      <c r="T3" s="26" t="s">
        <v>262</v>
      </c>
      <c r="U3" s="26" t="s">
        <v>321</v>
      </c>
      <c r="V3" s="27" t="s">
        <v>320</v>
      </c>
      <c r="W3" s="26" t="s">
        <v>263</v>
      </c>
      <c r="X3" s="24"/>
      <c r="Y3" s="23"/>
    </row>
    <row r="4" spans="1:25" x14ac:dyDescent="0.15">
      <c r="A4" s="3"/>
      <c r="B4" s="28" t="s">
        <v>283</v>
      </c>
      <c r="C4" s="29">
        <v>150</v>
      </c>
      <c r="D4" s="29">
        <v>0</v>
      </c>
      <c r="E4" s="29">
        <v>34</v>
      </c>
      <c r="F4" s="29">
        <v>32</v>
      </c>
      <c r="G4" s="29">
        <v>22</v>
      </c>
      <c r="H4" s="29">
        <v>1</v>
      </c>
      <c r="I4" s="29">
        <v>95</v>
      </c>
      <c r="J4" s="29">
        <v>0</v>
      </c>
      <c r="K4" s="29">
        <v>0</v>
      </c>
      <c r="L4" s="29">
        <v>0</v>
      </c>
      <c r="M4" s="29">
        <v>0</v>
      </c>
      <c r="N4" s="29">
        <v>0</v>
      </c>
      <c r="O4" s="29">
        <v>0</v>
      </c>
      <c r="P4" s="29">
        <v>0</v>
      </c>
      <c r="Q4" s="29">
        <v>0</v>
      </c>
      <c r="R4" s="29">
        <v>0</v>
      </c>
      <c r="S4" s="29">
        <v>0</v>
      </c>
      <c r="T4" s="29">
        <v>0</v>
      </c>
      <c r="U4" s="29">
        <v>3</v>
      </c>
      <c r="V4" s="29">
        <v>1</v>
      </c>
      <c r="W4" s="30">
        <v>3</v>
      </c>
      <c r="X4" s="3"/>
    </row>
    <row r="5" spans="1:25" x14ac:dyDescent="0.15">
      <c r="A5" s="3"/>
      <c r="B5" s="31" t="s">
        <v>264</v>
      </c>
      <c r="C5" s="32">
        <v>250</v>
      </c>
      <c r="D5" s="32">
        <v>0</v>
      </c>
      <c r="E5" s="32">
        <v>40</v>
      </c>
      <c r="F5" s="32">
        <v>35</v>
      </c>
      <c r="G5" s="32">
        <v>35</v>
      </c>
      <c r="H5" s="32">
        <v>0</v>
      </c>
      <c r="I5" s="32">
        <v>120</v>
      </c>
      <c r="J5" s="32">
        <v>0</v>
      </c>
      <c r="K5" s="32">
        <v>0</v>
      </c>
      <c r="L5" s="32">
        <v>1</v>
      </c>
      <c r="M5" s="32">
        <v>0</v>
      </c>
      <c r="N5" s="32">
        <v>0</v>
      </c>
      <c r="O5" s="32">
        <v>0</v>
      </c>
      <c r="P5" s="32">
        <v>0</v>
      </c>
      <c r="Q5" s="32">
        <v>0</v>
      </c>
      <c r="R5" s="32">
        <v>0</v>
      </c>
      <c r="S5" s="32">
        <v>0</v>
      </c>
      <c r="T5" s="32">
        <v>1</v>
      </c>
      <c r="U5" s="32">
        <v>3</v>
      </c>
      <c r="V5" s="32">
        <v>1</v>
      </c>
      <c r="W5" s="33">
        <v>3</v>
      </c>
      <c r="X5" s="3"/>
    </row>
    <row r="6" spans="1:25" x14ac:dyDescent="0.15">
      <c r="A6" s="3"/>
      <c r="B6" s="31" t="s">
        <v>266</v>
      </c>
      <c r="C6" s="32">
        <v>370</v>
      </c>
      <c r="D6" s="32">
        <v>18</v>
      </c>
      <c r="E6" s="32">
        <v>53</v>
      </c>
      <c r="F6" s="32">
        <v>50</v>
      </c>
      <c r="G6" s="32">
        <v>52</v>
      </c>
      <c r="H6" s="32">
        <v>1</v>
      </c>
      <c r="I6" s="32">
        <v>260</v>
      </c>
      <c r="J6" s="32">
        <v>370</v>
      </c>
      <c r="K6" s="32">
        <v>0</v>
      </c>
      <c r="L6" s="32">
        <v>0</v>
      </c>
      <c r="M6" s="32">
        <v>0</v>
      </c>
      <c r="N6" s="32">
        <v>0</v>
      </c>
      <c r="O6" s="32">
        <v>0</v>
      </c>
      <c r="P6" s="32">
        <v>0</v>
      </c>
      <c r="Q6" s="32">
        <v>0</v>
      </c>
      <c r="R6" s="32">
        <v>0</v>
      </c>
      <c r="S6" s="32">
        <v>0</v>
      </c>
      <c r="T6" s="32">
        <v>1</v>
      </c>
      <c r="U6" s="32">
        <v>2</v>
      </c>
      <c r="V6" s="32">
        <v>2</v>
      </c>
      <c r="W6" s="33">
        <v>3</v>
      </c>
      <c r="X6" s="3"/>
    </row>
    <row r="7" spans="1:25" x14ac:dyDescent="0.15">
      <c r="A7" s="3"/>
      <c r="B7" s="31" t="s">
        <v>267</v>
      </c>
      <c r="C7" s="32">
        <v>380</v>
      </c>
      <c r="D7" s="32">
        <v>0</v>
      </c>
      <c r="E7" s="32">
        <v>69</v>
      </c>
      <c r="F7" s="32">
        <v>72</v>
      </c>
      <c r="G7" s="32">
        <v>65</v>
      </c>
      <c r="H7" s="32">
        <v>2</v>
      </c>
      <c r="I7" s="32">
        <v>330</v>
      </c>
      <c r="J7" s="32">
        <v>250</v>
      </c>
      <c r="K7" s="32">
        <v>0</v>
      </c>
      <c r="L7" s="32">
        <v>0</v>
      </c>
      <c r="M7" s="32">
        <v>1</v>
      </c>
      <c r="N7" s="32">
        <v>1</v>
      </c>
      <c r="O7" s="32">
        <v>1</v>
      </c>
      <c r="P7" s="32">
        <v>0</v>
      </c>
      <c r="Q7" s="32">
        <v>0</v>
      </c>
      <c r="R7" s="32">
        <v>0</v>
      </c>
      <c r="S7" s="32">
        <v>0</v>
      </c>
      <c r="T7" s="32">
        <v>0</v>
      </c>
      <c r="U7" s="32">
        <v>3</v>
      </c>
      <c r="V7" s="32">
        <v>3</v>
      </c>
      <c r="W7" s="33">
        <v>0</v>
      </c>
      <c r="X7" s="3"/>
    </row>
    <row r="8" spans="1:25" x14ac:dyDescent="0.15">
      <c r="A8" s="3"/>
      <c r="B8" s="31" t="s">
        <v>268</v>
      </c>
      <c r="C8" s="32">
        <v>360</v>
      </c>
      <c r="D8" s="32">
        <v>20</v>
      </c>
      <c r="E8" s="32">
        <v>62</v>
      </c>
      <c r="F8" s="32">
        <v>43</v>
      </c>
      <c r="G8" s="32">
        <v>25</v>
      </c>
      <c r="H8" s="32">
        <v>0</v>
      </c>
      <c r="I8" s="32">
        <v>280</v>
      </c>
      <c r="J8" s="32">
        <v>57</v>
      </c>
      <c r="K8" s="32">
        <v>0</v>
      </c>
      <c r="L8" s="32">
        <v>0</v>
      </c>
      <c r="M8" s="32">
        <v>0</v>
      </c>
      <c r="N8" s="32">
        <v>0</v>
      </c>
      <c r="O8" s="32">
        <v>0</v>
      </c>
      <c r="P8" s="32">
        <v>1</v>
      </c>
      <c r="Q8" s="32">
        <v>0</v>
      </c>
      <c r="R8" s="32">
        <v>0</v>
      </c>
      <c r="S8" s="32">
        <v>0</v>
      </c>
      <c r="T8" s="32">
        <v>1</v>
      </c>
      <c r="U8" s="32">
        <v>0</v>
      </c>
      <c r="V8" s="32">
        <v>3</v>
      </c>
      <c r="W8" s="33">
        <v>3</v>
      </c>
      <c r="X8" s="3"/>
    </row>
    <row r="9" spans="1:25" x14ac:dyDescent="0.15">
      <c r="A9" s="3"/>
      <c r="B9" s="31" t="s">
        <v>269</v>
      </c>
      <c r="C9" s="32">
        <v>900</v>
      </c>
      <c r="D9" s="32" t="s">
        <v>330</v>
      </c>
      <c r="E9" s="32">
        <v>109</v>
      </c>
      <c r="F9" s="32">
        <v>102</v>
      </c>
      <c r="G9" s="32">
        <v>35</v>
      </c>
      <c r="H9" s="32">
        <v>0</v>
      </c>
      <c r="I9" s="32">
        <v>2270</v>
      </c>
      <c r="J9" s="32">
        <v>580</v>
      </c>
      <c r="K9" s="32">
        <v>1</v>
      </c>
      <c r="L9" s="32">
        <v>1</v>
      </c>
      <c r="M9" s="32">
        <v>0</v>
      </c>
      <c r="N9" s="32">
        <v>1</v>
      </c>
      <c r="O9" s="32">
        <v>1</v>
      </c>
      <c r="P9" s="32">
        <v>1</v>
      </c>
      <c r="Q9" s="32">
        <v>2</v>
      </c>
      <c r="R9" s="32">
        <v>1</v>
      </c>
      <c r="S9" s="32">
        <v>2</v>
      </c>
      <c r="T9" s="32">
        <v>0</v>
      </c>
      <c r="U9" s="32">
        <v>2</v>
      </c>
      <c r="V9" s="32">
        <v>3</v>
      </c>
      <c r="W9" s="33">
        <v>3</v>
      </c>
      <c r="X9" s="3"/>
    </row>
    <row r="10" spans="1:25" x14ac:dyDescent="0.15">
      <c r="A10" s="3"/>
      <c r="B10" s="31" t="s">
        <v>275</v>
      </c>
      <c r="C10" s="32">
        <v>350</v>
      </c>
      <c r="D10" s="32">
        <v>15</v>
      </c>
      <c r="E10" s="32">
        <v>75</v>
      </c>
      <c r="F10" s="32">
        <v>82</v>
      </c>
      <c r="G10" s="32">
        <v>31</v>
      </c>
      <c r="H10" s="32">
        <v>2</v>
      </c>
      <c r="I10" s="32">
        <v>165</v>
      </c>
      <c r="J10" s="32">
        <v>210</v>
      </c>
      <c r="K10" s="32">
        <v>2</v>
      </c>
      <c r="L10" s="32">
        <v>3</v>
      </c>
      <c r="M10" s="32">
        <v>2</v>
      </c>
      <c r="N10" s="32">
        <v>2</v>
      </c>
      <c r="O10" s="32">
        <v>2</v>
      </c>
      <c r="P10" s="32">
        <v>3</v>
      </c>
      <c r="Q10" s="32">
        <v>3</v>
      </c>
      <c r="R10" s="32">
        <v>1</v>
      </c>
      <c r="S10" s="32">
        <v>1</v>
      </c>
      <c r="T10" s="32">
        <v>0</v>
      </c>
      <c r="U10" s="32">
        <v>3</v>
      </c>
      <c r="V10" s="32">
        <v>3</v>
      </c>
      <c r="W10" s="33">
        <v>3</v>
      </c>
      <c r="X10" s="3"/>
    </row>
    <row r="11" spans="1:25" x14ac:dyDescent="0.15">
      <c r="A11" s="3"/>
      <c r="B11" s="31" t="s">
        <v>270</v>
      </c>
      <c r="C11" s="32">
        <v>500</v>
      </c>
      <c r="D11" s="32">
        <v>0</v>
      </c>
      <c r="E11" s="32">
        <v>70</v>
      </c>
      <c r="F11" s="32">
        <v>80</v>
      </c>
      <c r="G11" s="32">
        <v>20</v>
      </c>
      <c r="H11" s="32">
        <v>0</v>
      </c>
      <c r="I11" s="32">
        <v>520</v>
      </c>
      <c r="J11" s="32">
        <v>250</v>
      </c>
      <c r="K11" s="32">
        <v>0</v>
      </c>
      <c r="L11" s="32">
        <v>0</v>
      </c>
      <c r="M11" s="32">
        <v>0</v>
      </c>
      <c r="N11" s="32">
        <v>0</v>
      </c>
      <c r="O11" s="32">
        <v>0</v>
      </c>
      <c r="P11" s="32">
        <v>0</v>
      </c>
      <c r="Q11" s="32">
        <v>0</v>
      </c>
      <c r="R11" s="32">
        <v>0</v>
      </c>
      <c r="S11" s="32">
        <v>1</v>
      </c>
      <c r="T11" s="32">
        <v>2</v>
      </c>
      <c r="U11" s="32">
        <v>3</v>
      </c>
      <c r="V11" s="32">
        <v>3</v>
      </c>
      <c r="W11" s="33">
        <v>3</v>
      </c>
      <c r="X11" s="3"/>
    </row>
    <row r="12" spans="1:25" x14ac:dyDescent="0.15">
      <c r="A12" s="3"/>
      <c r="B12" s="31" t="s">
        <v>271</v>
      </c>
      <c r="C12" s="32">
        <v>320</v>
      </c>
      <c r="D12" s="32">
        <v>0</v>
      </c>
      <c r="E12" s="32">
        <v>55</v>
      </c>
      <c r="F12" s="32">
        <v>51</v>
      </c>
      <c r="G12" s="32">
        <v>45</v>
      </c>
      <c r="H12" s="32">
        <v>2</v>
      </c>
      <c r="I12" s="32">
        <v>305</v>
      </c>
      <c r="J12" s="32">
        <v>124</v>
      </c>
      <c r="K12" s="32">
        <v>0</v>
      </c>
      <c r="L12" s="32">
        <v>0</v>
      </c>
      <c r="M12" s="32">
        <v>0</v>
      </c>
      <c r="N12" s="32">
        <v>0</v>
      </c>
      <c r="O12" s="32">
        <v>0</v>
      </c>
      <c r="P12" s="32">
        <v>0</v>
      </c>
      <c r="Q12" s="32">
        <v>0</v>
      </c>
      <c r="R12" s="32">
        <v>0</v>
      </c>
      <c r="S12" s="32">
        <v>0</v>
      </c>
      <c r="T12" s="32">
        <v>1</v>
      </c>
      <c r="U12" s="32">
        <v>3</v>
      </c>
      <c r="V12" s="32">
        <v>1</v>
      </c>
      <c r="W12" s="33">
        <v>3</v>
      </c>
      <c r="X12" s="3"/>
    </row>
    <row r="13" spans="1:25" x14ac:dyDescent="0.15">
      <c r="A13" s="3"/>
      <c r="B13" s="31" t="s">
        <v>272</v>
      </c>
      <c r="C13" s="32">
        <v>500</v>
      </c>
      <c r="D13" s="32">
        <v>90</v>
      </c>
      <c r="E13" s="32">
        <v>95</v>
      </c>
      <c r="F13" s="32">
        <v>105</v>
      </c>
      <c r="G13" s="32">
        <v>47</v>
      </c>
      <c r="H13" s="32">
        <v>0</v>
      </c>
      <c r="I13" s="32">
        <v>1000</v>
      </c>
      <c r="J13" s="32">
        <v>0</v>
      </c>
      <c r="K13" s="32">
        <v>1</v>
      </c>
      <c r="L13" s="32">
        <v>1</v>
      </c>
      <c r="M13" s="32">
        <v>1</v>
      </c>
      <c r="N13" s="32">
        <v>1</v>
      </c>
      <c r="O13" s="32">
        <v>1</v>
      </c>
      <c r="P13" s="32">
        <v>0</v>
      </c>
      <c r="Q13" s="32">
        <v>0</v>
      </c>
      <c r="R13" s="32">
        <v>0</v>
      </c>
      <c r="S13" s="32">
        <v>1</v>
      </c>
      <c r="T13" s="32">
        <v>3</v>
      </c>
      <c r="U13" s="32">
        <v>3</v>
      </c>
      <c r="V13" s="32">
        <v>3</v>
      </c>
      <c r="W13" s="33">
        <v>3</v>
      </c>
      <c r="X13" s="3"/>
    </row>
    <row r="14" spans="1:25" x14ac:dyDescent="0.15">
      <c r="A14" s="3"/>
      <c r="B14" s="31" t="s">
        <v>273</v>
      </c>
      <c r="C14" s="32">
        <v>95</v>
      </c>
      <c r="D14" s="32">
        <v>0</v>
      </c>
      <c r="E14" s="32">
        <v>85</v>
      </c>
      <c r="F14" s="32">
        <v>82</v>
      </c>
      <c r="G14" s="32">
        <v>41</v>
      </c>
      <c r="H14" s="32">
        <v>1</v>
      </c>
      <c r="I14" s="32">
        <v>110</v>
      </c>
      <c r="J14" s="32">
        <v>0</v>
      </c>
      <c r="K14" s="32">
        <v>1</v>
      </c>
      <c r="L14" s="32">
        <v>0</v>
      </c>
      <c r="M14" s="32">
        <v>1</v>
      </c>
      <c r="N14" s="32">
        <v>1</v>
      </c>
      <c r="O14" s="32">
        <v>1</v>
      </c>
      <c r="P14" s="32">
        <v>0</v>
      </c>
      <c r="Q14" s="32">
        <v>0</v>
      </c>
      <c r="R14" s="32">
        <v>0</v>
      </c>
      <c r="S14" s="32">
        <v>2</v>
      </c>
      <c r="T14" s="32">
        <v>0</v>
      </c>
      <c r="U14" s="32">
        <v>3</v>
      </c>
      <c r="V14" s="32">
        <v>3</v>
      </c>
      <c r="W14" s="33">
        <v>3</v>
      </c>
      <c r="X14" s="3"/>
    </row>
    <row r="15" spans="1:25" x14ac:dyDescent="0.15">
      <c r="A15" s="3"/>
      <c r="B15" s="31" t="s">
        <v>339</v>
      </c>
      <c r="C15" s="32">
        <v>81</v>
      </c>
      <c r="D15" s="32">
        <v>0</v>
      </c>
      <c r="E15" s="32">
        <v>103</v>
      </c>
      <c r="F15" s="32">
        <v>120</v>
      </c>
      <c r="G15" s="32">
        <v>43</v>
      </c>
      <c r="H15" s="32">
        <v>0</v>
      </c>
      <c r="I15" s="32">
        <v>108</v>
      </c>
      <c r="J15" s="32">
        <v>45</v>
      </c>
      <c r="K15" s="32">
        <v>0</v>
      </c>
      <c r="L15" s="32">
        <v>0</v>
      </c>
      <c r="M15" s="32">
        <v>0</v>
      </c>
      <c r="N15" s="32">
        <v>0</v>
      </c>
      <c r="O15" s="32">
        <v>0</v>
      </c>
      <c r="P15" s="32">
        <v>2</v>
      </c>
      <c r="Q15" s="32">
        <v>3</v>
      </c>
      <c r="R15" s="32">
        <v>0</v>
      </c>
      <c r="S15" s="32">
        <v>2</v>
      </c>
      <c r="T15" s="32">
        <v>1</v>
      </c>
      <c r="U15" s="32">
        <v>3</v>
      </c>
      <c r="V15" s="32">
        <v>3</v>
      </c>
      <c r="W15" s="33">
        <v>3</v>
      </c>
      <c r="X15" s="3"/>
    </row>
    <row r="16" spans="1:25" x14ac:dyDescent="0.15">
      <c r="A16" s="3"/>
      <c r="B16" s="31" t="s">
        <v>274</v>
      </c>
      <c r="C16" s="32">
        <v>900</v>
      </c>
      <c r="D16" s="32" t="s">
        <v>330</v>
      </c>
      <c r="E16" s="32">
        <v>115</v>
      </c>
      <c r="F16" s="32">
        <v>105</v>
      </c>
      <c r="G16" s="32">
        <v>45</v>
      </c>
      <c r="H16" s="32">
        <v>0</v>
      </c>
      <c r="I16" s="32">
        <v>2300</v>
      </c>
      <c r="J16" s="32">
        <v>770</v>
      </c>
      <c r="K16" s="32">
        <v>1</v>
      </c>
      <c r="L16" s="32">
        <v>3</v>
      </c>
      <c r="M16" s="32">
        <v>0</v>
      </c>
      <c r="N16" s="32">
        <v>0</v>
      </c>
      <c r="O16" s="32">
        <v>0</v>
      </c>
      <c r="P16" s="32">
        <v>2</v>
      </c>
      <c r="Q16" s="32">
        <v>2</v>
      </c>
      <c r="R16" s="32">
        <v>1</v>
      </c>
      <c r="S16" s="32">
        <v>2</v>
      </c>
      <c r="T16" s="32">
        <v>3</v>
      </c>
      <c r="U16" s="32">
        <v>3</v>
      </c>
      <c r="V16" s="32">
        <v>3</v>
      </c>
      <c r="W16" s="33">
        <v>3</v>
      </c>
      <c r="X16" s="3"/>
    </row>
    <row r="17" spans="1:24" x14ac:dyDescent="0.15">
      <c r="A17" s="3"/>
      <c r="B17" s="31" t="s">
        <v>276</v>
      </c>
      <c r="C17" s="32">
        <v>800</v>
      </c>
      <c r="D17" s="32">
        <v>0</v>
      </c>
      <c r="E17" s="32">
        <v>115</v>
      </c>
      <c r="F17" s="32">
        <v>90</v>
      </c>
      <c r="G17" s="32">
        <v>40</v>
      </c>
      <c r="H17" s="32">
        <v>0</v>
      </c>
      <c r="I17" s="32">
        <v>310</v>
      </c>
      <c r="J17" s="32">
        <v>170</v>
      </c>
      <c r="K17" s="32">
        <v>0</v>
      </c>
      <c r="L17" s="32">
        <v>0</v>
      </c>
      <c r="M17" s="32">
        <v>0</v>
      </c>
      <c r="N17" s="32">
        <v>0</v>
      </c>
      <c r="O17" s="32">
        <v>0</v>
      </c>
      <c r="P17" s="32">
        <v>0</v>
      </c>
      <c r="Q17" s="32">
        <v>2</v>
      </c>
      <c r="R17" s="32">
        <v>0</v>
      </c>
      <c r="S17" s="32">
        <v>2</v>
      </c>
      <c r="T17" s="32">
        <v>3</v>
      </c>
      <c r="U17" s="32">
        <v>3</v>
      </c>
      <c r="V17" s="32">
        <v>3</v>
      </c>
      <c r="W17" s="33">
        <v>3</v>
      </c>
      <c r="X17" s="3"/>
    </row>
    <row r="18" spans="1:24" x14ac:dyDescent="0.15">
      <c r="A18" s="3"/>
      <c r="B18" s="31" t="s">
        <v>277</v>
      </c>
      <c r="C18" s="32">
        <v>1300</v>
      </c>
      <c r="D18" s="32">
        <v>0</v>
      </c>
      <c r="E18" s="32">
        <v>105</v>
      </c>
      <c r="F18" s="32">
        <v>95</v>
      </c>
      <c r="G18" s="32">
        <v>65</v>
      </c>
      <c r="H18" s="32">
        <v>1</v>
      </c>
      <c r="I18" s="32">
        <v>310</v>
      </c>
      <c r="J18" s="32">
        <v>0</v>
      </c>
      <c r="K18" s="32">
        <v>1</v>
      </c>
      <c r="L18" s="32">
        <v>1</v>
      </c>
      <c r="M18" s="32">
        <v>1</v>
      </c>
      <c r="N18" s="32">
        <v>1</v>
      </c>
      <c r="O18" s="32">
        <v>1</v>
      </c>
      <c r="P18" s="32">
        <v>1</v>
      </c>
      <c r="Q18" s="32">
        <v>1</v>
      </c>
      <c r="R18" s="32">
        <v>0</v>
      </c>
      <c r="S18" s="32">
        <v>1</v>
      </c>
      <c r="T18" s="32">
        <v>2</v>
      </c>
      <c r="U18" s="32">
        <v>3</v>
      </c>
      <c r="V18" s="32">
        <v>3</v>
      </c>
      <c r="W18" s="33">
        <v>3</v>
      </c>
      <c r="X18" s="3"/>
    </row>
    <row r="19" spans="1:24" x14ac:dyDescent="0.15">
      <c r="A19" s="3"/>
      <c r="B19" s="31" t="s">
        <v>278</v>
      </c>
      <c r="C19" s="32">
        <v>1200</v>
      </c>
      <c r="D19" s="32" t="s">
        <v>330</v>
      </c>
      <c r="E19" s="32">
        <v>85</v>
      </c>
      <c r="F19" s="32">
        <v>72</v>
      </c>
      <c r="G19" s="32">
        <v>20</v>
      </c>
      <c r="H19" s="32">
        <v>1</v>
      </c>
      <c r="I19" s="32">
        <v>120</v>
      </c>
      <c r="J19" s="32">
        <v>0</v>
      </c>
      <c r="K19" s="32">
        <v>0</v>
      </c>
      <c r="L19" s="32">
        <v>0</v>
      </c>
      <c r="M19" s="32">
        <v>0</v>
      </c>
      <c r="N19" s="32">
        <v>0</v>
      </c>
      <c r="O19" s="32">
        <v>0</v>
      </c>
      <c r="P19" s="32">
        <v>0</v>
      </c>
      <c r="Q19" s="32">
        <v>0</v>
      </c>
      <c r="R19" s="32">
        <v>0</v>
      </c>
      <c r="S19" s="32">
        <v>0</v>
      </c>
      <c r="T19" s="32">
        <v>3</v>
      </c>
      <c r="U19" s="32">
        <v>3</v>
      </c>
      <c r="V19" s="32">
        <v>3</v>
      </c>
      <c r="W19" s="33">
        <v>3</v>
      </c>
      <c r="X19" s="3"/>
    </row>
    <row r="20" spans="1:24" x14ac:dyDescent="0.15">
      <c r="A20" s="3"/>
      <c r="B20" s="31" t="s">
        <v>279</v>
      </c>
      <c r="C20" s="32">
        <v>1300</v>
      </c>
      <c r="D20" s="32">
        <v>0</v>
      </c>
      <c r="E20" s="32">
        <v>115</v>
      </c>
      <c r="F20" s="32">
        <v>83</v>
      </c>
      <c r="G20" s="32">
        <v>8</v>
      </c>
      <c r="H20" s="32">
        <v>1</v>
      </c>
      <c r="I20" s="32">
        <v>110</v>
      </c>
      <c r="J20" s="32">
        <v>0</v>
      </c>
      <c r="K20" s="32">
        <v>0</v>
      </c>
      <c r="L20" s="32">
        <v>0</v>
      </c>
      <c r="M20" s="32">
        <v>0</v>
      </c>
      <c r="N20" s="32">
        <v>0</v>
      </c>
      <c r="O20" s="32">
        <v>0</v>
      </c>
      <c r="P20" s="32">
        <v>0</v>
      </c>
      <c r="Q20" s="32">
        <v>0</v>
      </c>
      <c r="R20" s="32">
        <v>0</v>
      </c>
      <c r="S20" s="32">
        <v>0</v>
      </c>
      <c r="T20" s="32">
        <v>3</v>
      </c>
      <c r="U20" s="32">
        <v>3</v>
      </c>
      <c r="V20" s="32">
        <v>3</v>
      </c>
      <c r="W20" s="33">
        <v>3</v>
      </c>
      <c r="X20" s="3"/>
    </row>
    <row r="21" spans="1:24" x14ac:dyDescent="0.15">
      <c r="A21" s="3"/>
      <c r="B21" s="31" t="s">
        <v>280</v>
      </c>
      <c r="C21" s="32">
        <v>1800</v>
      </c>
      <c r="D21" s="32">
        <v>80</v>
      </c>
      <c r="E21" s="32">
        <v>140</v>
      </c>
      <c r="F21" s="32">
        <v>105</v>
      </c>
      <c r="G21" s="32">
        <v>75</v>
      </c>
      <c r="H21" s="32">
        <v>2</v>
      </c>
      <c r="I21" s="32">
        <v>450</v>
      </c>
      <c r="J21" s="32">
        <v>0</v>
      </c>
      <c r="K21" s="32">
        <v>0</v>
      </c>
      <c r="L21" s="32">
        <v>0</v>
      </c>
      <c r="M21" s="32">
        <v>2</v>
      </c>
      <c r="N21" s="32">
        <v>2</v>
      </c>
      <c r="O21" s="32">
        <v>2</v>
      </c>
      <c r="P21" s="32">
        <v>1</v>
      </c>
      <c r="Q21" s="32">
        <v>2</v>
      </c>
      <c r="R21" s="32">
        <v>0</v>
      </c>
      <c r="S21" s="32">
        <v>2</v>
      </c>
      <c r="T21" s="32">
        <v>2</v>
      </c>
      <c r="U21" s="32">
        <v>3</v>
      </c>
      <c r="V21" s="32">
        <v>3</v>
      </c>
      <c r="W21" s="33">
        <v>3</v>
      </c>
      <c r="X21" s="3"/>
    </row>
    <row r="22" spans="1:24" x14ac:dyDescent="0.15">
      <c r="A22" s="3"/>
      <c r="B22" s="31" t="s">
        <v>281</v>
      </c>
      <c r="C22" s="32">
        <v>167</v>
      </c>
      <c r="D22" s="32">
        <v>0</v>
      </c>
      <c r="E22" s="32">
        <v>123</v>
      </c>
      <c r="F22" s="32">
        <v>97</v>
      </c>
      <c r="G22" s="32">
        <v>88</v>
      </c>
      <c r="H22" s="32">
        <v>1</v>
      </c>
      <c r="I22" s="32">
        <v>137</v>
      </c>
      <c r="J22" s="32">
        <v>84</v>
      </c>
      <c r="K22" s="32">
        <v>1</v>
      </c>
      <c r="L22" s="32">
        <v>1</v>
      </c>
      <c r="M22" s="32">
        <v>1</v>
      </c>
      <c r="N22" s="32">
        <v>1</v>
      </c>
      <c r="O22" s="32">
        <v>1</v>
      </c>
      <c r="P22" s="32">
        <v>2</v>
      </c>
      <c r="Q22" s="32">
        <v>3</v>
      </c>
      <c r="R22" s="32">
        <v>2</v>
      </c>
      <c r="S22" s="32">
        <v>1</v>
      </c>
      <c r="T22" s="32">
        <v>0</v>
      </c>
      <c r="U22" s="32">
        <v>3</v>
      </c>
      <c r="V22" s="32">
        <v>2</v>
      </c>
      <c r="W22" s="33">
        <v>3</v>
      </c>
      <c r="X22" s="3"/>
    </row>
    <row r="23" spans="1:24" x14ac:dyDescent="0.15">
      <c r="A23" s="3"/>
      <c r="B23" s="31" t="s">
        <v>282</v>
      </c>
      <c r="C23" s="32">
        <v>210</v>
      </c>
      <c r="D23" s="32">
        <v>0</v>
      </c>
      <c r="E23" s="32">
        <v>147</v>
      </c>
      <c r="F23" s="32">
        <v>78</v>
      </c>
      <c r="G23" s="32">
        <v>92</v>
      </c>
      <c r="H23" s="32">
        <v>1</v>
      </c>
      <c r="I23" s="32">
        <v>160</v>
      </c>
      <c r="J23" s="32">
        <v>78</v>
      </c>
      <c r="K23" s="32">
        <v>0</v>
      </c>
      <c r="L23" s="32">
        <v>0</v>
      </c>
      <c r="M23" s="32">
        <v>0</v>
      </c>
      <c r="N23" s="32">
        <v>0</v>
      </c>
      <c r="O23" s="32">
        <v>0</v>
      </c>
      <c r="P23" s="32">
        <v>0</v>
      </c>
      <c r="Q23" s="32">
        <v>0</v>
      </c>
      <c r="R23" s="32">
        <v>0</v>
      </c>
      <c r="S23" s="32">
        <v>0</v>
      </c>
      <c r="T23" s="32">
        <v>2</v>
      </c>
      <c r="U23" s="32">
        <v>3</v>
      </c>
      <c r="V23" s="32">
        <v>2</v>
      </c>
      <c r="W23" s="33">
        <v>3</v>
      </c>
      <c r="X23" s="3"/>
    </row>
    <row r="24" spans="1:24" x14ac:dyDescent="0.15">
      <c r="A24" s="3"/>
      <c r="B24" s="31" t="s">
        <v>284</v>
      </c>
      <c r="C24" s="32">
        <v>150</v>
      </c>
      <c r="D24" s="32">
        <v>0</v>
      </c>
      <c r="E24" s="32">
        <v>178</v>
      </c>
      <c r="F24" s="32">
        <v>125</v>
      </c>
      <c r="G24" s="32">
        <v>65</v>
      </c>
      <c r="H24" s="32">
        <v>1</v>
      </c>
      <c r="I24" s="32">
        <v>1050</v>
      </c>
      <c r="J24" s="32">
        <v>430</v>
      </c>
      <c r="K24" s="32">
        <v>2</v>
      </c>
      <c r="L24" s="32">
        <v>0</v>
      </c>
      <c r="M24" s="32">
        <v>2</v>
      </c>
      <c r="N24" s="32">
        <v>2</v>
      </c>
      <c r="O24" s="32">
        <v>1</v>
      </c>
      <c r="P24" s="32">
        <v>0</v>
      </c>
      <c r="Q24" s="32">
        <v>0</v>
      </c>
      <c r="R24" s="32">
        <v>0</v>
      </c>
      <c r="S24" s="32">
        <v>1</v>
      </c>
      <c r="T24" s="32">
        <v>2</v>
      </c>
      <c r="U24" s="32">
        <v>3</v>
      </c>
      <c r="V24" s="32">
        <v>3</v>
      </c>
      <c r="W24" s="33">
        <v>3</v>
      </c>
      <c r="X24" s="3"/>
    </row>
    <row r="25" spans="1:24" x14ac:dyDescent="0.15">
      <c r="A25" s="3"/>
      <c r="B25" s="31" t="s">
        <v>285</v>
      </c>
      <c r="C25" s="32">
        <v>1000</v>
      </c>
      <c r="D25" s="32" t="s">
        <v>330</v>
      </c>
      <c r="E25" s="32">
        <v>90</v>
      </c>
      <c r="F25" s="32">
        <v>20</v>
      </c>
      <c r="G25" s="32">
        <v>72</v>
      </c>
      <c r="H25" s="32">
        <v>0</v>
      </c>
      <c r="I25" s="32">
        <v>550</v>
      </c>
      <c r="J25" s="32">
        <v>220</v>
      </c>
      <c r="K25" s="32">
        <v>3</v>
      </c>
      <c r="L25" s="32">
        <v>0</v>
      </c>
      <c r="M25" s="32">
        <v>3</v>
      </c>
      <c r="N25" s="32">
        <v>3</v>
      </c>
      <c r="O25" s="32">
        <v>3</v>
      </c>
      <c r="P25" s="32">
        <v>0</v>
      </c>
      <c r="Q25" s="32">
        <v>0</v>
      </c>
      <c r="R25" s="32">
        <v>0</v>
      </c>
      <c r="S25" s="32">
        <v>0</v>
      </c>
      <c r="T25" s="32">
        <v>2</v>
      </c>
      <c r="U25" s="32">
        <v>0</v>
      </c>
      <c r="V25" s="32">
        <v>3</v>
      </c>
      <c r="W25" s="33">
        <v>0</v>
      </c>
      <c r="X25" s="3"/>
    </row>
    <row r="26" spans="1:24" x14ac:dyDescent="0.15">
      <c r="A26" s="3"/>
      <c r="B26" s="31" t="s">
        <v>286</v>
      </c>
      <c r="C26" s="32">
        <v>1500</v>
      </c>
      <c r="D26" s="32">
        <v>0</v>
      </c>
      <c r="E26" s="32">
        <v>190</v>
      </c>
      <c r="F26" s="32">
        <v>120</v>
      </c>
      <c r="G26" s="32">
        <v>63</v>
      </c>
      <c r="H26" s="32">
        <v>0</v>
      </c>
      <c r="I26" s="32">
        <v>750</v>
      </c>
      <c r="J26" s="32">
        <v>380</v>
      </c>
      <c r="K26" s="32">
        <v>1</v>
      </c>
      <c r="L26" s="32">
        <v>2</v>
      </c>
      <c r="M26" s="32">
        <v>1</v>
      </c>
      <c r="N26" s="32">
        <v>1</v>
      </c>
      <c r="O26" s="32">
        <v>1</v>
      </c>
      <c r="P26" s="32">
        <v>2</v>
      </c>
      <c r="Q26" s="32">
        <v>2</v>
      </c>
      <c r="R26" s="32">
        <v>2</v>
      </c>
      <c r="S26" s="32">
        <v>1</v>
      </c>
      <c r="T26" s="32">
        <v>3</v>
      </c>
      <c r="U26" s="32">
        <v>3</v>
      </c>
      <c r="V26" s="32">
        <v>3</v>
      </c>
      <c r="W26" s="33">
        <v>3</v>
      </c>
      <c r="X26" s="3"/>
    </row>
    <row r="27" spans="1:24" x14ac:dyDescent="0.15">
      <c r="A27" s="3"/>
      <c r="B27" s="31" t="s">
        <v>287</v>
      </c>
      <c r="C27" s="32">
        <v>1300</v>
      </c>
      <c r="D27" s="32" t="s">
        <v>330</v>
      </c>
      <c r="E27" s="32">
        <v>150</v>
      </c>
      <c r="F27" s="32">
        <v>100</v>
      </c>
      <c r="G27" s="32">
        <v>95</v>
      </c>
      <c r="H27" s="32">
        <v>2</v>
      </c>
      <c r="I27" s="32">
        <v>1250</v>
      </c>
      <c r="J27" s="32">
        <v>680</v>
      </c>
      <c r="K27" s="32">
        <v>2</v>
      </c>
      <c r="L27" s="32">
        <v>0</v>
      </c>
      <c r="M27" s="32">
        <v>2</v>
      </c>
      <c r="N27" s="32">
        <v>2</v>
      </c>
      <c r="O27" s="32">
        <v>2</v>
      </c>
      <c r="P27" s="32">
        <v>0</v>
      </c>
      <c r="Q27" s="32">
        <v>1</v>
      </c>
      <c r="R27" s="32">
        <v>3</v>
      </c>
      <c r="S27" s="32">
        <v>2</v>
      </c>
      <c r="T27" s="32">
        <v>3</v>
      </c>
      <c r="U27" s="32">
        <v>2</v>
      </c>
      <c r="V27" s="32">
        <v>3</v>
      </c>
      <c r="W27" s="33">
        <v>3</v>
      </c>
      <c r="X27" s="3"/>
    </row>
    <row r="28" spans="1:24" x14ac:dyDescent="0.15">
      <c r="A28" s="3"/>
      <c r="B28" s="31" t="s">
        <v>288</v>
      </c>
      <c r="C28" s="32">
        <v>230</v>
      </c>
      <c r="D28" s="32">
        <v>0</v>
      </c>
      <c r="E28" s="32">
        <v>71</v>
      </c>
      <c r="F28" s="32">
        <v>50</v>
      </c>
      <c r="G28" s="32">
        <v>10</v>
      </c>
      <c r="H28" s="32">
        <v>0</v>
      </c>
      <c r="I28" s="32">
        <v>135</v>
      </c>
      <c r="J28" s="32">
        <v>60</v>
      </c>
      <c r="K28" s="32">
        <v>1</v>
      </c>
      <c r="L28" s="32">
        <v>1</v>
      </c>
      <c r="M28" s="32">
        <v>1</v>
      </c>
      <c r="N28" s="32">
        <v>1</v>
      </c>
      <c r="O28" s="32">
        <v>0</v>
      </c>
      <c r="P28" s="32">
        <v>1</v>
      </c>
      <c r="Q28" s="32">
        <v>0</v>
      </c>
      <c r="R28" s="32">
        <v>0</v>
      </c>
      <c r="S28" s="32">
        <v>0</v>
      </c>
      <c r="T28" s="32">
        <v>2</v>
      </c>
      <c r="U28" s="32">
        <v>3</v>
      </c>
      <c r="V28" s="32">
        <v>1</v>
      </c>
      <c r="W28" s="33">
        <v>3</v>
      </c>
      <c r="X28" s="3"/>
    </row>
    <row r="29" spans="1:24" x14ac:dyDescent="0.15">
      <c r="A29" s="3"/>
      <c r="B29" s="31" t="s">
        <v>289</v>
      </c>
      <c r="C29" s="32">
        <v>2400</v>
      </c>
      <c r="D29" s="32" t="s">
        <v>330</v>
      </c>
      <c r="E29" s="32">
        <v>160</v>
      </c>
      <c r="F29" s="32">
        <v>120</v>
      </c>
      <c r="G29" s="32">
        <v>85</v>
      </c>
      <c r="H29" s="32">
        <v>1</v>
      </c>
      <c r="I29" s="32">
        <v>2000</v>
      </c>
      <c r="J29" s="32">
        <v>800</v>
      </c>
      <c r="K29" s="32">
        <v>0</v>
      </c>
      <c r="L29" s="32">
        <v>0</v>
      </c>
      <c r="M29" s="32">
        <v>1</v>
      </c>
      <c r="N29" s="32">
        <v>1</v>
      </c>
      <c r="O29" s="32">
        <v>1</v>
      </c>
      <c r="P29" s="32">
        <v>0</v>
      </c>
      <c r="Q29" s="32">
        <v>0</v>
      </c>
      <c r="R29" s="32">
        <v>0</v>
      </c>
      <c r="S29" s="32">
        <v>0</v>
      </c>
      <c r="T29" s="32">
        <v>3</v>
      </c>
      <c r="U29" s="32">
        <v>3</v>
      </c>
      <c r="V29" s="32">
        <v>3</v>
      </c>
      <c r="W29" s="33">
        <v>3</v>
      </c>
      <c r="X29" s="3"/>
    </row>
    <row r="30" spans="1:24" x14ac:dyDescent="0.15">
      <c r="A30" s="3"/>
      <c r="B30" s="31" t="s">
        <v>290</v>
      </c>
      <c r="C30" s="32">
        <v>380</v>
      </c>
      <c r="D30" s="32">
        <v>14</v>
      </c>
      <c r="E30" s="32">
        <v>150</v>
      </c>
      <c r="F30" s="32">
        <v>94</v>
      </c>
      <c r="G30" s="32">
        <v>68</v>
      </c>
      <c r="H30" s="32">
        <v>1</v>
      </c>
      <c r="I30" s="32">
        <v>250</v>
      </c>
      <c r="J30" s="32">
        <v>68</v>
      </c>
      <c r="K30" s="32">
        <v>0</v>
      </c>
      <c r="L30" s="32">
        <v>1</v>
      </c>
      <c r="M30" s="32">
        <v>0</v>
      </c>
      <c r="N30" s="32">
        <v>0</v>
      </c>
      <c r="O30" s="32">
        <v>1</v>
      </c>
      <c r="P30" s="32">
        <v>1</v>
      </c>
      <c r="Q30" s="32">
        <v>3</v>
      </c>
      <c r="R30" s="32">
        <v>0</v>
      </c>
      <c r="S30" s="32">
        <v>0</v>
      </c>
      <c r="T30" s="32">
        <v>1</v>
      </c>
      <c r="U30" s="32">
        <v>1</v>
      </c>
      <c r="V30" s="32">
        <v>2</v>
      </c>
      <c r="W30" s="33">
        <v>3</v>
      </c>
      <c r="X30" s="3"/>
    </row>
    <row r="31" spans="1:24" x14ac:dyDescent="0.15">
      <c r="A31" s="3"/>
      <c r="B31" s="31" t="s">
        <v>291</v>
      </c>
      <c r="C31" s="32">
        <v>3000</v>
      </c>
      <c r="D31" s="32">
        <v>50</v>
      </c>
      <c r="E31" s="32">
        <v>210</v>
      </c>
      <c r="F31" s="32">
        <v>210</v>
      </c>
      <c r="G31" s="32">
        <v>80</v>
      </c>
      <c r="H31" s="32">
        <v>0</v>
      </c>
      <c r="I31" s="32">
        <v>3700</v>
      </c>
      <c r="J31" s="32">
        <v>900</v>
      </c>
      <c r="K31" s="32">
        <v>1</v>
      </c>
      <c r="L31" s="32">
        <v>3</v>
      </c>
      <c r="M31" s="32">
        <v>1</v>
      </c>
      <c r="N31" s="32">
        <v>1</v>
      </c>
      <c r="O31" s="32">
        <v>1</v>
      </c>
      <c r="P31" s="32">
        <v>3</v>
      </c>
      <c r="Q31" s="32">
        <v>1</v>
      </c>
      <c r="R31" s="32">
        <v>0</v>
      </c>
      <c r="S31" s="32">
        <v>0</v>
      </c>
      <c r="T31" s="32">
        <v>3</v>
      </c>
      <c r="U31" s="32">
        <v>2</v>
      </c>
      <c r="V31" s="32">
        <v>3</v>
      </c>
      <c r="W31" s="33">
        <v>3</v>
      </c>
      <c r="X31" s="3"/>
    </row>
    <row r="32" spans="1:24" x14ac:dyDescent="0.15">
      <c r="A32" s="3"/>
      <c r="B32" s="31" t="s">
        <v>292</v>
      </c>
      <c r="C32" s="32">
        <v>400</v>
      </c>
      <c r="D32" s="32">
        <v>0</v>
      </c>
      <c r="E32" s="32">
        <v>245</v>
      </c>
      <c r="F32" s="32">
        <v>115</v>
      </c>
      <c r="G32" s="32">
        <v>118</v>
      </c>
      <c r="H32" s="32">
        <v>0</v>
      </c>
      <c r="I32" s="32">
        <v>534</v>
      </c>
      <c r="J32" s="32">
        <v>90</v>
      </c>
      <c r="K32" s="32">
        <v>0</v>
      </c>
      <c r="L32" s="32">
        <v>0</v>
      </c>
      <c r="M32" s="32">
        <v>0</v>
      </c>
      <c r="N32" s="32">
        <v>1</v>
      </c>
      <c r="O32" s="32">
        <v>0</v>
      </c>
      <c r="P32" s="32">
        <v>0</v>
      </c>
      <c r="Q32" s="32">
        <v>0</v>
      </c>
      <c r="R32" s="32">
        <v>0</v>
      </c>
      <c r="S32" s="32">
        <v>0</v>
      </c>
      <c r="T32" s="32">
        <v>1</v>
      </c>
      <c r="U32" s="32">
        <v>3</v>
      </c>
      <c r="V32" s="32">
        <v>3</v>
      </c>
      <c r="W32" s="33">
        <v>3</v>
      </c>
      <c r="X32" s="3"/>
    </row>
    <row r="33" spans="1:24" x14ac:dyDescent="0.15">
      <c r="A33" s="3"/>
      <c r="B33" s="31" t="s">
        <v>293</v>
      </c>
      <c r="C33" s="32">
        <v>250</v>
      </c>
      <c r="D33" s="32">
        <v>0</v>
      </c>
      <c r="E33" s="32">
        <v>164</v>
      </c>
      <c r="F33" s="32">
        <v>90</v>
      </c>
      <c r="G33" s="32">
        <v>102</v>
      </c>
      <c r="H33" s="32">
        <v>0</v>
      </c>
      <c r="I33" s="32">
        <v>266</v>
      </c>
      <c r="J33" s="32">
        <v>112</v>
      </c>
      <c r="K33" s="32">
        <v>0</v>
      </c>
      <c r="L33" s="32">
        <v>0</v>
      </c>
      <c r="M33" s="32">
        <v>0</v>
      </c>
      <c r="N33" s="32">
        <v>0</v>
      </c>
      <c r="O33" s="32">
        <v>0</v>
      </c>
      <c r="P33" s="32">
        <v>0</v>
      </c>
      <c r="Q33" s="32">
        <v>0</v>
      </c>
      <c r="R33" s="32">
        <v>0</v>
      </c>
      <c r="S33" s="32">
        <v>0</v>
      </c>
      <c r="T33" s="32">
        <v>1</v>
      </c>
      <c r="U33" s="32">
        <v>3</v>
      </c>
      <c r="V33" s="32">
        <v>1</v>
      </c>
      <c r="W33" s="33">
        <v>3</v>
      </c>
      <c r="X33" s="3"/>
    </row>
    <row r="34" spans="1:24" x14ac:dyDescent="0.15">
      <c r="A34" s="3"/>
      <c r="B34" s="31" t="s">
        <v>294</v>
      </c>
      <c r="C34" s="32">
        <v>280</v>
      </c>
      <c r="D34" s="32">
        <v>0</v>
      </c>
      <c r="E34" s="32">
        <v>180</v>
      </c>
      <c r="F34" s="32">
        <v>138</v>
      </c>
      <c r="G34" s="32">
        <v>99</v>
      </c>
      <c r="H34" s="32">
        <v>0</v>
      </c>
      <c r="I34" s="32">
        <v>312</v>
      </c>
      <c r="J34" s="32">
        <v>99</v>
      </c>
      <c r="K34" s="32">
        <v>1</v>
      </c>
      <c r="L34" s="32">
        <v>0</v>
      </c>
      <c r="M34" s="32">
        <v>0</v>
      </c>
      <c r="N34" s="32">
        <v>1</v>
      </c>
      <c r="O34" s="32">
        <v>1</v>
      </c>
      <c r="P34" s="32">
        <v>2</v>
      </c>
      <c r="Q34" s="32">
        <v>1</v>
      </c>
      <c r="R34" s="32">
        <v>0</v>
      </c>
      <c r="S34" s="32">
        <v>1</v>
      </c>
      <c r="T34" s="32">
        <v>1</v>
      </c>
      <c r="U34" s="32">
        <v>3</v>
      </c>
      <c r="V34" s="32">
        <v>1</v>
      </c>
      <c r="W34" s="33">
        <v>3</v>
      </c>
      <c r="X34" s="3"/>
    </row>
    <row r="35" spans="1:24" x14ac:dyDescent="0.15">
      <c r="A35" s="3"/>
      <c r="B35" s="31" t="s">
        <v>295</v>
      </c>
      <c r="C35" s="32">
        <v>320</v>
      </c>
      <c r="D35" s="32">
        <v>0</v>
      </c>
      <c r="E35" s="32">
        <v>185</v>
      </c>
      <c r="F35" s="32">
        <v>83</v>
      </c>
      <c r="G35" s="32">
        <v>74</v>
      </c>
      <c r="H35" s="32">
        <v>0</v>
      </c>
      <c r="I35" s="32">
        <v>310</v>
      </c>
      <c r="J35" s="32">
        <v>80</v>
      </c>
      <c r="K35" s="32">
        <v>0</v>
      </c>
      <c r="L35" s="32">
        <v>0</v>
      </c>
      <c r="M35" s="32">
        <v>0</v>
      </c>
      <c r="N35" s="32">
        <v>0</v>
      </c>
      <c r="O35" s="32">
        <v>0</v>
      </c>
      <c r="P35" s="32">
        <v>0</v>
      </c>
      <c r="Q35" s="32">
        <v>0</v>
      </c>
      <c r="R35" s="32">
        <v>0</v>
      </c>
      <c r="S35" s="32">
        <v>0</v>
      </c>
      <c r="T35" s="32">
        <v>1</v>
      </c>
      <c r="U35" s="32">
        <v>3</v>
      </c>
      <c r="V35" s="32">
        <v>2</v>
      </c>
      <c r="W35" s="33">
        <v>3</v>
      </c>
      <c r="X35" s="3"/>
    </row>
    <row r="36" spans="1:24" x14ac:dyDescent="0.15">
      <c r="A36" s="3"/>
      <c r="B36" s="31" t="s">
        <v>296</v>
      </c>
      <c r="C36" s="32">
        <v>400</v>
      </c>
      <c r="D36" s="32">
        <v>50</v>
      </c>
      <c r="E36" s="32">
        <v>160</v>
      </c>
      <c r="F36" s="32">
        <v>270</v>
      </c>
      <c r="G36" s="32">
        <v>57</v>
      </c>
      <c r="H36" s="32">
        <v>0</v>
      </c>
      <c r="I36" s="32">
        <v>1800</v>
      </c>
      <c r="J36" s="32">
        <v>320</v>
      </c>
      <c r="K36" s="32">
        <v>3</v>
      </c>
      <c r="L36" s="32">
        <v>3</v>
      </c>
      <c r="M36" s="32">
        <v>3</v>
      </c>
      <c r="N36" s="32">
        <v>3</v>
      </c>
      <c r="O36" s="32">
        <v>3</v>
      </c>
      <c r="P36" s="32">
        <v>3</v>
      </c>
      <c r="Q36" s="32">
        <v>3</v>
      </c>
      <c r="R36" s="32">
        <v>0</v>
      </c>
      <c r="S36" s="32">
        <v>3</v>
      </c>
      <c r="T36" s="32">
        <v>3</v>
      </c>
      <c r="U36" s="32">
        <v>3</v>
      </c>
      <c r="V36" s="32">
        <v>3</v>
      </c>
      <c r="W36" s="33">
        <v>3</v>
      </c>
      <c r="X36" s="3"/>
    </row>
    <row r="37" spans="1:24" x14ac:dyDescent="0.15">
      <c r="A37" s="3"/>
      <c r="B37" s="31" t="s">
        <v>297</v>
      </c>
      <c r="C37" s="32">
        <v>3000</v>
      </c>
      <c r="D37" s="32" t="s">
        <v>330</v>
      </c>
      <c r="E37" s="32">
        <v>240</v>
      </c>
      <c r="F37" s="32">
        <v>200</v>
      </c>
      <c r="G37" s="32">
        <v>65</v>
      </c>
      <c r="H37" s="32">
        <v>0</v>
      </c>
      <c r="I37" s="32">
        <v>2200</v>
      </c>
      <c r="J37" s="32">
        <v>0</v>
      </c>
      <c r="K37" s="32">
        <v>2</v>
      </c>
      <c r="L37" s="32">
        <v>2</v>
      </c>
      <c r="M37" s="32">
        <v>2</v>
      </c>
      <c r="N37" s="32">
        <v>2</v>
      </c>
      <c r="O37" s="32">
        <v>2</v>
      </c>
      <c r="P37" s="32">
        <v>2</v>
      </c>
      <c r="Q37" s="32">
        <v>0</v>
      </c>
      <c r="R37" s="32">
        <v>0</v>
      </c>
      <c r="S37" s="32">
        <v>1</v>
      </c>
      <c r="T37" s="32">
        <v>2</v>
      </c>
      <c r="U37" s="32">
        <v>3</v>
      </c>
      <c r="V37" s="32">
        <v>3</v>
      </c>
      <c r="W37" s="33">
        <v>3</v>
      </c>
      <c r="X37" s="3"/>
    </row>
    <row r="38" spans="1:24" x14ac:dyDescent="0.15">
      <c r="A38" s="3"/>
      <c r="B38" s="31" t="s">
        <v>298</v>
      </c>
      <c r="C38" s="32">
        <v>600</v>
      </c>
      <c r="D38" s="32">
        <v>0</v>
      </c>
      <c r="E38" s="32">
        <v>310</v>
      </c>
      <c r="F38" s="32">
        <v>235</v>
      </c>
      <c r="G38" s="32">
        <v>147</v>
      </c>
      <c r="H38" s="32">
        <v>0</v>
      </c>
      <c r="I38" s="32">
        <v>1100</v>
      </c>
      <c r="J38" s="32">
        <v>123</v>
      </c>
      <c r="K38" s="32">
        <v>0</v>
      </c>
      <c r="L38" s="32">
        <v>0</v>
      </c>
      <c r="M38" s="32">
        <v>1</v>
      </c>
      <c r="N38" s="32">
        <v>2</v>
      </c>
      <c r="O38" s="32">
        <v>1</v>
      </c>
      <c r="P38" s="32">
        <v>1</v>
      </c>
      <c r="Q38" s="32">
        <v>3</v>
      </c>
      <c r="R38" s="32">
        <v>0</v>
      </c>
      <c r="S38" s="32">
        <v>0</v>
      </c>
      <c r="T38" s="32">
        <v>3</v>
      </c>
      <c r="U38" s="32">
        <v>3</v>
      </c>
      <c r="V38" s="32">
        <v>3</v>
      </c>
      <c r="W38" s="33">
        <v>3</v>
      </c>
      <c r="X38" s="3"/>
    </row>
    <row r="39" spans="1:24" x14ac:dyDescent="0.15">
      <c r="A39" s="3"/>
      <c r="B39" s="31" t="s">
        <v>338</v>
      </c>
      <c r="C39" s="32">
        <v>410</v>
      </c>
      <c r="D39" s="32">
        <v>30</v>
      </c>
      <c r="E39" s="32">
        <v>225</v>
      </c>
      <c r="F39" s="32">
        <v>300</v>
      </c>
      <c r="G39" s="32">
        <v>60</v>
      </c>
      <c r="H39" s="32">
        <v>0</v>
      </c>
      <c r="I39" s="32">
        <v>420</v>
      </c>
      <c r="J39" s="32">
        <v>69</v>
      </c>
      <c r="K39" s="32">
        <v>2</v>
      </c>
      <c r="L39" s="32">
        <v>2</v>
      </c>
      <c r="M39" s="32">
        <v>1</v>
      </c>
      <c r="N39" s="32">
        <v>1</v>
      </c>
      <c r="O39" s="32">
        <v>1</v>
      </c>
      <c r="P39" s="32">
        <v>2</v>
      </c>
      <c r="Q39" s="32">
        <v>3</v>
      </c>
      <c r="R39" s="32">
        <v>1</v>
      </c>
      <c r="S39" s="32">
        <v>2</v>
      </c>
      <c r="T39" s="32">
        <v>2</v>
      </c>
      <c r="U39" s="32">
        <v>2</v>
      </c>
      <c r="V39" s="32">
        <v>1</v>
      </c>
      <c r="W39" s="33">
        <v>3</v>
      </c>
      <c r="X39" s="3"/>
    </row>
    <row r="40" spans="1:24" x14ac:dyDescent="0.15">
      <c r="A40" s="3"/>
      <c r="B40" s="31" t="s">
        <v>193</v>
      </c>
      <c r="C40" s="32">
        <v>2500</v>
      </c>
      <c r="D40" s="32">
        <v>50</v>
      </c>
      <c r="E40" s="32">
        <v>220</v>
      </c>
      <c r="F40" s="32">
        <v>180</v>
      </c>
      <c r="G40" s="32">
        <v>90</v>
      </c>
      <c r="H40" s="32">
        <v>2</v>
      </c>
      <c r="I40" s="32">
        <v>1300</v>
      </c>
      <c r="J40" s="32">
        <v>0</v>
      </c>
      <c r="K40" s="32">
        <v>1</v>
      </c>
      <c r="L40" s="32">
        <v>1</v>
      </c>
      <c r="M40" s="32">
        <v>1</v>
      </c>
      <c r="N40" s="32">
        <v>1</v>
      </c>
      <c r="O40" s="32">
        <v>1</v>
      </c>
      <c r="P40" s="32">
        <v>1</v>
      </c>
      <c r="Q40" s="32">
        <v>2</v>
      </c>
      <c r="R40" s="32">
        <v>3</v>
      </c>
      <c r="S40" s="32">
        <v>2</v>
      </c>
      <c r="T40" s="32">
        <v>3</v>
      </c>
      <c r="U40" s="32">
        <v>3</v>
      </c>
      <c r="V40" s="32">
        <v>3</v>
      </c>
      <c r="W40" s="33">
        <v>3</v>
      </c>
      <c r="X40" s="3"/>
    </row>
    <row r="41" spans="1:24" x14ac:dyDescent="0.15">
      <c r="A41" s="3"/>
      <c r="B41" s="31" t="s">
        <v>299</v>
      </c>
      <c r="C41" s="32">
        <v>3000</v>
      </c>
      <c r="D41" s="32" t="s">
        <v>330</v>
      </c>
      <c r="E41" s="32">
        <v>260</v>
      </c>
      <c r="F41" s="32">
        <v>200</v>
      </c>
      <c r="G41" s="32">
        <v>120</v>
      </c>
      <c r="H41" s="32">
        <v>2</v>
      </c>
      <c r="I41" s="32">
        <v>5500</v>
      </c>
      <c r="J41" s="32">
        <v>2300</v>
      </c>
      <c r="K41" s="32">
        <v>1</v>
      </c>
      <c r="L41" s="32">
        <v>1</v>
      </c>
      <c r="M41" s="32">
        <v>0</v>
      </c>
      <c r="N41" s="32">
        <v>1</v>
      </c>
      <c r="O41" s="32">
        <v>0</v>
      </c>
      <c r="P41" s="32">
        <v>1</v>
      </c>
      <c r="Q41" s="32">
        <v>2</v>
      </c>
      <c r="R41" s="32">
        <v>0</v>
      </c>
      <c r="S41" s="32">
        <v>2</v>
      </c>
      <c r="T41" s="32">
        <v>3</v>
      </c>
      <c r="U41" s="32">
        <v>3</v>
      </c>
      <c r="V41" s="32">
        <v>3</v>
      </c>
      <c r="W41" s="33">
        <v>3</v>
      </c>
      <c r="X41" s="3"/>
    </row>
    <row r="42" spans="1:24" x14ac:dyDescent="0.15">
      <c r="A42" s="3"/>
      <c r="B42" s="31" t="s">
        <v>300</v>
      </c>
      <c r="C42" s="32">
        <v>280</v>
      </c>
      <c r="D42" s="32">
        <v>0</v>
      </c>
      <c r="E42" s="32">
        <v>191</v>
      </c>
      <c r="F42" s="32">
        <v>90</v>
      </c>
      <c r="G42" s="32">
        <v>128</v>
      </c>
      <c r="H42" s="32">
        <v>1</v>
      </c>
      <c r="I42" s="32">
        <v>240</v>
      </c>
      <c r="J42" s="32">
        <v>60</v>
      </c>
      <c r="K42" s="32">
        <v>0</v>
      </c>
      <c r="L42" s="32">
        <v>0</v>
      </c>
      <c r="M42" s="32">
        <v>0</v>
      </c>
      <c r="N42" s="32">
        <v>2</v>
      </c>
      <c r="O42" s="32">
        <v>2</v>
      </c>
      <c r="P42" s="32">
        <v>2</v>
      </c>
      <c r="Q42" s="32">
        <v>2</v>
      </c>
      <c r="R42" s="32">
        <v>2</v>
      </c>
      <c r="S42" s="32">
        <v>3</v>
      </c>
      <c r="T42" s="32">
        <v>3</v>
      </c>
      <c r="U42" s="32">
        <v>3</v>
      </c>
      <c r="V42" s="32">
        <v>3</v>
      </c>
      <c r="W42" s="33">
        <v>3</v>
      </c>
      <c r="X42" s="3"/>
    </row>
    <row r="43" spans="1:24" x14ac:dyDescent="0.15">
      <c r="A43" s="3"/>
      <c r="B43" s="31" t="s">
        <v>301</v>
      </c>
      <c r="C43" s="32">
        <v>870</v>
      </c>
      <c r="D43" s="32">
        <v>48</v>
      </c>
      <c r="E43" s="32">
        <v>350</v>
      </c>
      <c r="F43" s="32">
        <v>113</v>
      </c>
      <c r="G43" s="32">
        <v>114</v>
      </c>
      <c r="H43" s="32">
        <v>0</v>
      </c>
      <c r="I43" s="32">
        <v>920</v>
      </c>
      <c r="J43" s="32">
        <v>250</v>
      </c>
      <c r="K43" s="32">
        <v>0</v>
      </c>
      <c r="L43" s="32">
        <v>0</v>
      </c>
      <c r="M43" s="32">
        <v>0</v>
      </c>
      <c r="N43" s="32">
        <v>1</v>
      </c>
      <c r="O43" s="32">
        <v>1</v>
      </c>
      <c r="P43" s="32">
        <v>0</v>
      </c>
      <c r="Q43" s="32">
        <v>3</v>
      </c>
      <c r="R43" s="32">
        <v>0</v>
      </c>
      <c r="S43" s="32">
        <v>1</v>
      </c>
      <c r="T43" s="32">
        <v>3</v>
      </c>
      <c r="U43" s="32">
        <v>2</v>
      </c>
      <c r="V43" s="32">
        <v>3</v>
      </c>
      <c r="W43" s="33">
        <v>3</v>
      </c>
      <c r="X43" s="3"/>
    </row>
    <row r="44" spans="1:24" x14ac:dyDescent="0.15">
      <c r="A44" s="3"/>
      <c r="B44" s="31" t="s">
        <v>302</v>
      </c>
      <c r="C44" s="32">
        <v>310</v>
      </c>
      <c r="D44" s="32">
        <v>0</v>
      </c>
      <c r="E44" s="32">
        <v>189</v>
      </c>
      <c r="F44" s="32">
        <v>94</v>
      </c>
      <c r="G44" s="32">
        <v>118</v>
      </c>
      <c r="H44" s="32">
        <v>1</v>
      </c>
      <c r="I44" s="32">
        <v>282</v>
      </c>
      <c r="J44" s="32">
        <v>135</v>
      </c>
      <c r="K44" s="32">
        <v>0</v>
      </c>
      <c r="L44" s="32">
        <v>1</v>
      </c>
      <c r="M44" s="32">
        <v>0</v>
      </c>
      <c r="N44" s="32">
        <v>0</v>
      </c>
      <c r="O44" s="32">
        <v>0</v>
      </c>
      <c r="P44" s="32">
        <v>1</v>
      </c>
      <c r="Q44" s="32">
        <v>0</v>
      </c>
      <c r="R44" s="32">
        <v>0</v>
      </c>
      <c r="S44" s="32">
        <v>0</v>
      </c>
      <c r="T44" s="32">
        <v>1</v>
      </c>
      <c r="U44" s="32">
        <v>3</v>
      </c>
      <c r="V44" s="32">
        <v>1</v>
      </c>
      <c r="W44" s="33">
        <v>3</v>
      </c>
      <c r="X44" s="3"/>
    </row>
    <row r="45" spans="1:24" x14ac:dyDescent="0.15">
      <c r="A45" s="3"/>
      <c r="B45" s="31" t="s">
        <v>303</v>
      </c>
      <c r="C45" s="32">
        <v>2000</v>
      </c>
      <c r="D45" s="32">
        <v>0</v>
      </c>
      <c r="E45" s="32">
        <v>125</v>
      </c>
      <c r="F45" s="32">
        <v>110</v>
      </c>
      <c r="G45" s="32">
        <v>110</v>
      </c>
      <c r="H45" s="32">
        <v>1</v>
      </c>
      <c r="I45" s="32">
        <v>0</v>
      </c>
      <c r="J45" s="32">
        <v>0</v>
      </c>
      <c r="K45" s="32">
        <v>1</v>
      </c>
      <c r="L45" s="32">
        <v>1</v>
      </c>
      <c r="M45" s="32">
        <v>1</v>
      </c>
      <c r="N45" s="32">
        <v>1</v>
      </c>
      <c r="O45" s="32">
        <v>1</v>
      </c>
      <c r="P45" s="32">
        <v>1</v>
      </c>
      <c r="Q45" s="32">
        <v>1</v>
      </c>
      <c r="R45" s="32">
        <v>1</v>
      </c>
      <c r="S45" s="32">
        <v>1</v>
      </c>
      <c r="T45" s="32">
        <v>1</v>
      </c>
      <c r="U45" s="32">
        <v>3</v>
      </c>
      <c r="V45" s="32">
        <v>1</v>
      </c>
      <c r="W45" s="33">
        <v>3</v>
      </c>
      <c r="X45" s="3"/>
    </row>
    <row r="46" spans="1:24" x14ac:dyDescent="0.15">
      <c r="A46" s="3"/>
      <c r="B46" s="31" t="s">
        <v>331</v>
      </c>
      <c r="C46" s="32">
        <v>2800</v>
      </c>
      <c r="D46" s="32">
        <v>0</v>
      </c>
      <c r="E46" s="32">
        <v>220</v>
      </c>
      <c r="F46" s="32">
        <v>150</v>
      </c>
      <c r="G46" s="32">
        <v>115</v>
      </c>
      <c r="H46" s="32">
        <v>1</v>
      </c>
      <c r="I46" s="32">
        <v>6300</v>
      </c>
      <c r="J46" s="32">
        <v>580</v>
      </c>
      <c r="K46" s="32">
        <v>1</v>
      </c>
      <c r="L46" s="32">
        <v>1</v>
      </c>
      <c r="M46" s="32">
        <v>1</v>
      </c>
      <c r="N46" s="32">
        <v>1</v>
      </c>
      <c r="O46" s="32">
        <v>1</v>
      </c>
      <c r="P46" s="32">
        <v>1</v>
      </c>
      <c r="Q46" s="32">
        <v>1</v>
      </c>
      <c r="R46" s="32">
        <v>1</v>
      </c>
      <c r="S46" s="32">
        <v>1</v>
      </c>
      <c r="T46" s="32">
        <v>3</v>
      </c>
      <c r="U46" s="32">
        <v>1</v>
      </c>
      <c r="V46" s="32">
        <v>3</v>
      </c>
      <c r="W46" s="33">
        <v>3</v>
      </c>
      <c r="X46" s="3"/>
    </row>
    <row r="47" spans="1:24" x14ac:dyDescent="0.15">
      <c r="A47" s="3"/>
      <c r="B47" s="31" t="s">
        <v>332</v>
      </c>
      <c r="C47" s="32">
        <v>1500</v>
      </c>
      <c r="D47" s="32">
        <v>0</v>
      </c>
      <c r="E47" s="32">
        <v>210</v>
      </c>
      <c r="F47" s="32">
        <v>150</v>
      </c>
      <c r="G47" s="32">
        <v>100</v>
      </c>
      <c r="H47" s="32">
        <v>1</v>
      </c>
      <c r="I47" s="32">
        <v>500</v>
      </c>
      <c r="J47" s="32">
        <v>0</v>
      </c>
      <c r="K47" s="32">
        <v>1</v>
      </c>
      <c r="L47" s="32">
        <v>1</v>
      </c>
      <c r="M47" s="32">
        <v>1</v>
      </c>
      <c r="N47" s="32">
        <v>1</v>
      </c>
      <c r="O47" s="32">
        <v>1</v>
      </c>
      <c r="P47" s="32">
        <v>1</v>
      </c>
      <c r="Q47" s="32">
        <v>1</v>
      </c>
      <c r="R47" s="32">
        <v>1</v>
      </c>
      <c r="S47" s="32">
        <v>1</v>
      </c>
      <c r="T47" s="32">
        <v>3</v>
      </c>
      <c r="U47" s="32">
        <v>3</v>
      </c>
      <c r="V47" s="32">
        <v>1</v>
      </c>
      <c r="W47" s="33">
        <v>3</v>
      </c>
      <c r="X47" s="3"/>
    </row>
    <row r="48" spans="1:24" x14ac:dyDescent="0.15">
      <c r="A48" s="3"/>
      <c r="B48" s="31" t="s">
        <v>306</v>
      </c>
      <c r="C48" s="32">
        <v>7000</v>
      </c>
      <c r="D48" s="32" t="s">
        <v>330</v>
      </c>
      <c r="E48" s="32">
        <v>200</v>
      </c>
      <c r="F48" s="32">
        <v>300</v>
      </c>
      <c r="G48" s="32">
        <v>200</v>
      </c>
      <c r="H48" s="32">
        <v>1</v>
      </c>
      <c r="I48" s="32">
        <v>500</v>
      </c>
      <c r="J48" s="32">
        <v>0</v>
      </c>
      <c r="K48" s="32">
        <v>1</v>
      </c>
      <c r="L48" s="32">
        <v>1</v>
      </c>
      <c r="M48" s="32">
        <v>2</v>
      </c>
      <c r="N48" s="32">
        <v>2</v>
      </c>
      <c r="O48" s="32">
        <v>2</v>
      </c>
      <c r="P48" s="32">
        <v>2</v>
      </c>
      <c r="Q48" s="32">
        <v>1</v>
      </c>
      <c r="R48" s="32">
        <v>1</v>
      </c>
      <c r="S48" s="32">
        <v>2</v>
      </c>
      <c r="T48" s="32">
        <v>3</v>
      </c>
      <c r="U48" s="32">
        <v>3</v>
      </c>
      <c r="V48" s="32">
        <v>3</v>
      </c>
      <c r="W48" s="33">
        <v>3</v>
      </c>
      <c r="X48" s="3"/>
    </row>
    <row r="49" spans="1:24" x14ac:dyDescent="0.15">
      <c r="A49" s="3"/>
      <c r="B49" s="31" t="s">
        <v>305</v>
      </c>
      <c r="C49" s="32">
        <v>3500</v>
      </c>
      <c r="D49" s="32">
        <v>0</v>
      </c>
      <c r="E49" s="32">
        <v>250</v>
      </c>
      <c r="F49" s="32">
        <v>200</v>
      </c>
      <c r="G49" s="32">
        <v>105</v>
      </c>
      <c r="H49" s="32">
        <v>1</v>
      </c>
      <c r="I49" s="32">
        <v>1000</v>
      </c>
      <c r="J49" s="32">
        <v>0</v>
      </c>
      <c r="K49" s="32">
        <v>1</v>
      </c>
      <c r="L49" s="32">
        <v>1</v>
      </c>
      <c r="M49" s="32">
        <v>1</v>
      </c>
      <c r="N49" s="32">
        <v>1</v>
      </c>
      <c r="O49" s="32">
        <v>1</v>
      </c>
      <c r="P49" s="32">
        <v>1</v>
      </c>
      <c r="Q49" s="32">
        <v>3</v>
      </c>
      <c r="R49" s="32">
        <v>1</v>
      </c>
      <c r="S49" s="32">
        <v>1</v>
      </c>
      <c r="T49" s="32">
        <v>3</v>
      </c>
      <c r="U49" s="32">
        <v>3</v>
      </c>
      <c r="V49" s="32">
        <v>3</v>
      </c>
      <c r="W49" s="33">
        <v>3</v>
      </c>
      <c r="X49" s="3"/>
    </row>
    <row r="50" spans="1:24" x14ac:dyDescent="0.15">
      <c r="A50" s="3"/>
      <c r="B50" s="31" t="s">
        <v>304</v>
      </c>
      <c r="C50" s="32">
        <v>3300</v>
      </c>
      <c r="D50" s="32" t="s">
        <v>330</v>
      </c>
      <c r="E50" s="32">
        <v>270</v>
      </c>
      <c r="F50" s="32">
        <v>230</v>
      </c>
      <c r="G50" s="32">
        <v>130</v>
      </c>
      <c r="H50" s="32">
        <v>0</v>
      </c>
      <c r="I50" s="32">
        <v>8500</v>
      </c>
      <c r="J50" s="32">
        <v>900</v>
      </c>
      <c r="K50" s="32">
        <v>2</v>
      </c>
      <c r="L50" s="32">
        <v>1</v>
      </c>
      <c r="M50" s="32">
        <v>1</v>
      </c>
      <c r="N50" s="32">
        <v>1</v>
      </c>
      <c r="O50" s="32">
        <v>1</v>
      </c>
      <c r="P50" s="32">
        <v>1</v>
      </c>
      <c r="Q50" s="32">
        <v>1</v>
      </c>
      <c r="R50" s="32">
        <v>1</v>
      </c>
      <c r="S50" s="32">
        <v>2</v>
      </c>
      <c r="T50" s="32">
        <v>2</v>
      </c>
      <c r="U50" s="32">
        <v>3</v>
      </c>
      <c r="V50" s="32">
        <v>3</v>
      </c>
      <c r="W50" s="33">
        <v>3</v>
      </c>
      <c r="X50" s="3"/>
    </row>
    <row r="51" spans="1:24" x14ac:dyDescent="0.15">
      <c r="A51" s="3"/>
      <c r="B51" s="31" t="s">
        <v>307</v>
      </c>
      <c r="C51" s="32">
        <v>420</v>
      </c>
      <c r="D51" s="32">
        <v>0</v>
      </c>
      <c r="E51" s="32">
        <v>255</v>
      </c>
      <c r="F51" s="32">
        <v>160</v>
      </c>
      <c r="G51" s="32">
        <v>130</v>
      </c>
      <c r="H51" s="32">
        <v>0</v>
      </c>
      <c r="I51" s="32">
        <v>427</v>
      </c>
      <c r="J51" s="32">
        <v>125</v>
      </c>
      <c r="K51" s="32">
        <v>2</v>
      </c>
      <c r="L51" s="32">
        <v>2</v>
      </c>
      <c r="M51" s="32">
        <v>0</v>
      </c>
      <c r="N51" s="32">
        <v>1</v>
      </c>
      <c r="O51" s="32">
        <v>1</v>
      </c>
      <c r="P51" s="32">
        <v>3</v>
      </c>
      <c r="Q51" s="32">
        <v>0</v>
      </c>
      <c r="R51" s="32">
        <v>0</v>
      </c>
      <c r="S51" s="32">
        <v>1</v>
      </c>
      <c r="T51" s="32">
        <v>1</v>
      </c>
      <c r="U51" s="32">
        <v>3</v>
      </c>
      <c r="V51" s="32">
        <v>2</v>
      </c>
      <c r="W51" s="33">
        <v>3</v>
      </c>
      <c r="X51" s="3"/>
    </row>
    <row r="52" spans="1:24" x14ac:dyDescent="0.15">
      <c r="A52" s="3"/>
      <c r="B52" s="31" t="s">
        <v>333</v>
      </c>
      <c r="C52" s="32">
        <v>170</v>
      </c>
      <c r="D52" s="32">
        <v>28</v>
      </c>
      <c r="E52" s="32">
        <v>107</v>
      </c>
      <c r="F52" s="32">
        <v>72</v>
      </c>
      <c r="G52" s="32">
        <v>120</v>
      </c>
      <c r="H52" s="32">
        <v>0</v>
      </c>
      <c r="I52" s="32">
        <v>120</v>
      </c>
      <c r="J52" s="32">
        <v>43</v>
      </c>
      <c r="K52" s="32">
        <v>0</v>
      </c>
      <c r="L52" s="32">
        <v>0</v>
      </c>
      <c r="M52" s="32">
        <v>0</v>
      </c>
      <c r="N52" s="32">
        <v>1</v>
      </c>
      <c r="O52" s="32">
        <v>1</v>
      </c>
      <c r="P52" s="32">
        <v>1</v>
      </c>
      <c r="Q52" s="32">
        <v>0</v>
      </c>
      <c r="R52" s="32">
        <v>0</v>
      </c>
      <c r="S52" s="32">
        <v>0</v>
      </c>
      <c r="T52" s="32">
        <v>0</v>
      </c>
      <c r="U52" s="32">
        <v>2</v>
      </c>
      <c r="V52" s="32">
        <v>2</v>
      </c>
      <c r="W52" s="33">
        <v>3</v>
      </c>
      <c r="X52" s="3"/>
    </row>
    <row r="53" spans="1:24" x14ac:dyDescent="0.15">
      <c r="A53" s="3"/>
      <c r="B53" s="31" t="s">
        <v>309</v>
      </c>
      <c r="C53" s="32">
        <v>2500</v>
      </c>
      <c r="D53" s="32" t="s">
        <v>330</v>
      </c>
      <c r="E53" s="32">
        <v>250</v>
      </c>
      <c r="F53" s="32">
        <v>290</v>
      </c>
      <c r="G53" s="32">
        <v>50</v>
      </c>
      <c r="H53" s="32">
        <v>0</v>
      </c>
      <c r="I53" s="32">
        <v>3300</v>
      </c>
      <c r="J53" s="32">
        <v>850</v>
      </c>
      <c r="K53" s="32">
        <v>2</v>
      </c>
      <c r="L53" s="32">
        <v>1</v>
      </c>
      <c r="M53" s="32">
        <v>2</v>
      </c>
      <c r="N53" s="32">
        <v>2</v>
      </c>
      <c r="O53" s="32">
        <v>2</v>
      </c>
      <c r="P53" s="32">
        <v>2</v>
      </c>
      <c r="Q53" s="32">
        <v>2</v>
      </c>
      <c r="R53" s="32">
        <v>2</v>
      </c>
      <c r="S53" s="32">
        <v>1</v>
      </c>
      <c r="T53" s="32">
        <v>3</v>
      </c>
      <c r="U53" s="32">
        <v>3</v>
      </c>
      <c r="V53" s="32">
        <v>3</v>
      </c>
      <c r="W53" s="33">
        <v>3</v>
      </c>
      <c r="X53" s="3"/>
    </row>
    <row r="54" spans="1:24" x14ac:dyDescent="0.15">
      <c r="A54" s="3"/>
      <c r="B54" s="31" t="s">
        <v>310</v>
      </c>
      <c r="C54" s="32">
        <v>3500</v>
      </c>
      <c r="D54" s="32">
        <v>0</v>
      </c>
      <c r="E54" s="32">
        <v>300</v>
      </c>
      <c r="F54" s="32">
        <v>190</v>
      </c>
      <c r="G54" s="32">
        <v>20</v>
      </c>
      <c r="H54" s="32">
        <v>0</v>
      </c>
      <c r="I54" s="32">
        <v>4400</v>
      </c>
      <c r="J54" s="32">
        <v>550</v>
      </c>
      <c r="K54" s="32">
        <v>0</v>
      </c>
      <c r="L54" s="32">
        <v>0</v>
      </c>
      <c r="M54" s="32">
        <v>0</v>
      </c>
      <c r="N54" s="32">
        <v>0</v>
      </c>
      <c r="O54" s="32">
        <v>0</v>
      </c>
      <c r="P54" s="32">
        <v>0</v>
      </c>
      <c r="Q54" s="32">
        <v>0</v>
      </c>
      <c r="R54" s="32">
        <v>0</v>
      </c>
      <c r="S54" s="32">
        <v>0</v>
      </c>
      <c r="T54" s="32">
        <v>0</v>
      </c>
      <c r="U54" s="32">
        <v>3</v>
      </c>
      <c r="V54" s="32">
        <v>3</v>
      </c>
      <c r="W54" s="33">
        <v>3</v>
      </c>
      <c r="X54" s="3"/>
    </row>
    <row r="55" spans="1:24" x14ac:dyDescent="0.15">
      <c r="A55" s="3"/>
      <c r="B55" s="31" t="s">
        <v>312</v>
      </c>
      <c r="C55" s="32">
        <v>2000</v>
      </c>
      <c r="D55" s="32" t="s">
        <v>330</v>
      </c>
      <c r="E55" s="32">
        <v>290</v>
      </c>
      <c r="F55" s="32">
        <v>250</v>
      </c>
      <c r="G55" s="32">
        <v>150</v>
      </c>
      <c r="H55" s="32">
        <v>1</v>
      </c>
      <c r="I55" s="32">
        <v>0</v>
      </c>
      <c r="J55" s="32">
        <v>0</v>
      </c>
      <c r="K55" s="32">
        <v>2</v>
      </c>
      <c r="L55" s="32">
        <v>3</v>
      </c>
      <c r="M55" s="32">
        <v>0</v>
      </c>
      <c r="N55" s="32">
        <v>2</v>
      </c>
      <c r="O55" s="32">
        <v>1</v>
      </c>
      <c r="P55" s="32">
        <v>3</v>
      </c>
      <c r="Q55" s="32">
        <v>1</v>
      </c>
      <c r="R55" s="32">
        <v>0</v>
      </c>
      <c r="S55" s="32">
        <v>3</v>
      </c>
      <c r="T55" s="32">
        <v>3</v>
      </c>
      <c r="U55" s="32">
        <v>3</v>
      </c>
      <c r="V55" s="32">
        <v>3</v>
      </c>
      <c r="W55" s="33">
        <v>3</v>
      </c>
      <c r="X55" s="3"/>
    </row>
    <row r="56" spans="1:24" x14ac:dyDescent="0.15">
      <c r="A56" s="3"/>
      <c r="B56" s="31" t="s">
        <v>314</v>
      </c>
      <c r="C56" s="32">
        <v>3000</v>
      </c>
      <c r="D56" s="32" t="s">
        <v>330</v>
      </c>
      <c r="E56" s="32">
        <v>410</v>
      </c>
      <c r="F56" s="32">
        <v>300</v>
      </c>
      <c r="G56" s="32">
        <v>90</v>
      </c>
      <c r="H56" s="32">
        <v>0</v>
      </c>
      <c r="I56" s="32">
        <v>0</v>
      </c>
      <c r="J56" s="32">
        <v>0</v>
      </c>
      <c r="K56" s="32">
        <v>1</v>
      </c>
      <c r="L56" s="32">
        <v>1</v>
      </c>
      <c r="M56" s="32">
        <v>0</v>
      </c>
      <c r="N56" s="32">
        <v>1</v>
      </c>
      <c r="O56" s="32">
        <v>0</v>
      </c>
      <c r="P56" s="32">
        <v>2</v>
      </c>
      <c r="Q56" s="32">
        <v>0</v>
      </c>
      <c r="R56" s="32">
        <v>0</v>
      </c>
      <c r="S56" s="32">
        <v>0</v>
      </c>
      <c r="T56" s="32">
        <v>3</v>
      </c>
      <c r="U56" s="32">
        <v>3</v>
      </c>
      <c r="V56" s="32">
        <v>3</v>
      </c>
      <c r="W56" s="33">
        <v>3</v>
      </c>
      <c r="X56" s="3"/>
    </row>
    <row r="57" spans="1:24" x14ac:dyDescent="0.15">
      <c r="A57" s="3"/>
      <c r="B57" s="31" t="s">
        <v>316</v>
      </c>
      <c r="C57" s="32">
        <v>2500</v>
      </c>
      <c r="D57" s="32">
        <v>254</v>
      </c>
      <c r="E57" s="32">
        <v>300</v>
      </c>
      <c r="F57" s="32">
        <v>340</v>
      </c>
      <c r="G57" s="32">
        <v>120</v>
      </c>
      <c r="H57" s="32">
        <v>0</v>
      </c>
      <c r="I57" s="32">
        <v>0</v>
      </c>
      <c r="J57" s="32">
        <v>0</v>
      </c>
      <c r="K57" s="32">
        <v>0</v>
      </c>
      <c r="L57" s="32">
        <v>2</v>
      </c>
      <c r="M57" s="32">
        <v>1</v>
      </c>
      <c r="N57" s="32">
        <v>2</v>
      </c>
      <c r="O57" s="32">
        <v>2</v>
      </c>
      <c r="P57" s="32">
        <v>2</v>
      </c>
      <c r="Q57" s="32">
        <v>2</v>
      </c>
      <c r="R57" s="32">
        <v>1</v>
      </c>
      <c r="S57" s="32">
        <v>3</v>
      </c>
      <c r="T57" s="32">
        <v>3</v>
      </c>
      <c r="U57" s="32">
        <v>3</v>
      </c>
      <c r="V57" s="32">
        <v>3</v>
      </c>
      <c r="W57" s="33">
        <v>3</v>
      </c>
      <c r="X57" s="3"/>
    </row>
    <row r="58" spans="1:24" x14ac:dyDescent="0.15">
      <c r="A58" s="3"/>
      <c r="B58" s="31" t="s">
        <v>334</v>
      </c>
      <c r="C58" s="32">
        <v>1700</v>
      </c>
      <c r="D58" s="32" t="s">
        <v>330</v>
      </c>
      <c r="E58" s="32">
        <v>330</v>
      </c>
      <c r="F58" s="32">
        <v>180</v>
      </c>
      <c r="G58" s="32">
        <v>70</v>
      </c>
      <c r="H58" s="32">
        <v>0</v>
      </c>
      <c r="I58" s="32">
        <v>0</v>
      </c>
      <c r="J58" s="32">
        <v>0</v>
      </c>
      <c r="K58" s="32">
        <v>0</v>
      </c>
      <c r="L58" s="32">
        <v>0</v>
      </c>
      <c r="M58" s="32">
        <v>0</v>
      </c>
      <c r="N58" s="32">
        <v>1</v>
      </c>
      <c r="O58" s="32">
        <v>0</v>
      </c>
      <c r="P58" s="32">
        <v>1</v>
      </c>
      <c r="Q58" s="32">
        <v>1</v>
      </c>
      <c r="R58" s="32">
        <v>0</v>
      </c>
      <c r="S58" s="32">
        <v>0</v>
      </c>
      <c r="T58" s="32">
        <v>3</v>
      </c>
      <c r="U58" s="32">
        <v>3</v>
      </c>
      <c r="V58" s="32">
        <v>3</v>
      </c>
      <c r="W58" s="33">
        <v>3</v>
      </c>
      <c r="X58" s="3"/>
    </row>
    <row r="59" spans="1:24" x14ac:dyDescent="0.15">
      <c r="A59" s="3"/>
      <c r="B59" s="31" t="s">
        <v>335</v>
      </c>
      <c r="C59" s="32">
        <v>2000</v>
      </c>
      <c r="D59" s="32" t="s">
        <v>330</v>
      </c>
      <c r="E59" s="32">
        <v>270</v>
      </c>
      <c r="F59" s="32">
        <v>180</v>
      </c>
      <c r="G59" s="32">
        <v>180</v>
      </c>
      <c r="H59" s="32">
        <v>0</v>
      </c>
      <c r="I59" s="32">
        <v>0</v>
      </c>
      <c r="J59" s="32">
        <v>0</v>
      </c>
      <c r="K59" s="32">
        <v>0</v>
      </c>
      <c r="L59" s="32">
        <v>0</v>
      </c>
      <c r="M59" s="32">
        <v>1</v>
      </c>
      <c r="N59" s="32">
        <v>2</v>
      </c>
      <c r="O59" s="32">
        <v>1</v>
      </c>
      <c r="P59" s="32">
        <v>1</v>
      </c>
      <c r="Q59" s="32">
        <v>1</v>
      </c>
      <c r="R59" s="32">
        <v>0</v>
      </c>
      <c r="S59" s="32">
        <v>0</v>
      </c>
      <c r="T59" s="32">
        <v>3</v>
      </c>
      <c r="U59" s="32">
        <v>3</v>
      </c>
      <c r="V59" s="32">
        <v>3</v>
      </c>
      <c r="W59" s="33">
        <v>3</v>
      </c>
      <c r="X59" s="3"/>
    </row>
    <row r="60" spans="1:24" x14ac:dyDescent="0.15">
      <c r="A60" s="3"/>
      <c r="B60" s="31" t="s">
        <v>336</v>
      </c>
      <c r="C60" s="32">
        <v>13000</v>
      </c>
      <c r="D60" s="32" t="s">
        <v>330</v>
      </c>
      <c r="E60" s="32">
        <v>410</v>
      </c>
      <c r="F60" s="32">
        <v>300</v>
      </c>
      <c r="G60" s="32">
        <v>210</v>
      </c>
      <c r="H60" s="32">
        <v>1</v>
      </c>
      <c r="I60" s="32">
        <v>5500</v>
      </c>
      <c r="J60" s="32">
        <v>880</v>
      </c>
      <c r="K60" s="32">
        <v>0</v>
      </c>
      <c r="L60" s="32">
        <v>0</v>
      </c>
      <c r="M60" s="32">
        <v>0</v>
      </c>
      <c r="N60" s="32">
        <v>1</v>
      </c>
      <c r="O60" s="32">
        <v>0</v>
      </c>
      <c r="P60" s="32">
        <v>1</v>
      </c>
      <c r="Q60" s="32">
        <v>1</v>
      </c>
      <c r="R60" s="32">
        <v>0</v>
      </c>
      <c r="S60" s="32">
        <v>1</v>
      </c>
      <c r="T60" s="32">
        <v>3</v>
      </c>
      <c r="U60" s="32">
        <v>3</v>
      </c>
      <c r="V60" s="32">
        <v>3</v>
      </c>
      <c r="W60" s="33">
        <v>3</v>
      </c>
      <c r="X60" s="3"/>
    </row>
    <row r="61" spans="1:24" x14ac:dyDescent="0.15">
      <c r="A61" s="3"/>
      <c r="B61" s="31" t="s">
        <v>337</v>
      </c>
      <c r="C61" s="32">
        <v>13000</v>
      </c>
      <c r="D61" s="32" t="s">
        <v>330</v>
      </c>
      <c r="E61" s="32">
        <v>410</v>
      </c>
      <c r="F61" s="32">
        <v>300</v>
      </c>
      <c r="G61" s="32">
        <v>210</v>
      </c>
      <c r="H61" s="32">
        <v>1</v>
      </c>
      <c r="I61" s="32">
        <v>5500</v>
      </c>
      <c r="J61" s="32">
        <v>880</v>
      </c>
      <c r="K61" s="32">
        <v>0</v>
      </c>
      <c r="L61" s="32">
        <v>0</v>
      </c>
      <c r="M61" s="32">
        <v>0</v>
      </c>
      <c r="N61" s="32">
        <v>1</v>
      </c>
      <c r="O61" s="32">
        <v>0</v>
      </c>
      <c r="P61" s="32">
        <v>1</v>
      </c>
      <c r="Q61" s="32">
        <v>1</v>
      </c>
      <c r="R61" s="32">
        <v>0</v>
      </c>
      <c r="S61" s="32">
        <v>0</v>
      </c>
      <c r="T61" s="32">
        <v>3</v>
      </c>
      <c r="U61" s="32">
        <v>3</v>
      </c>
      <c r="V61" s="32">
        <v>3</v>
      </c>
      <c r="W61" s="33">
        <v>3</v>
      </c>
      <c r="X61" s="3"/>
    </row>
    <row r="62" spans="1:24" x14ac:dyDescent="0.15">
      <c r="A62" s="3"/>
      <c r="B62" s="34" t="s">
        <v>359</v>
      </c>
      <c r="C62" s="32"/>
      <c r="D62" s="32"/>
      <c r="E62" s="32"/>
      <c r="F62" s="32"/>
      <c r="G62" s="32"/>
      <c r="H62" s="32"/>
      <c r="I62" s="32"/>
      <c r="J62" s="32"/>
      <c r="K62" s="32"/>
      <c r="L62" s="32"/>
      <c r="M62" s="32"/>
      <c r="N62" s="32"/>
      <c r="O62" s="32"/>
      <c r="P62" s="32"/>
      <c r="Q62" s="32"/>
      <c r="R62" s="32"/>
      <c r="S62" s="32"/>
      <c r="T62" s="32"/>
      <c r="U62" s="32"/>
      <c r="V62" s="32"/>
      <c r="W62" s="33"/>
      <c r="X62" s="3"/>
    </row>
    <row r="63" spans="1:24" x14ac:dyDescent="0.15">
      <c r="A63" s="3"/>
      <c r="B63" s="34" t="s">
        <v>351</v>
      </c>
      <c r="C63" s="32">
        <v>19</v>
      </c>
      <c r="D63" s="32">
        <v>0</v>
      </c>
      <c r="E63" s="32">
        <v>28</v>
      </c>
      <c r="F63" s="32">
        <v>12</v>
      </c>
      <c r="G63" s="32">
        <v>7</v>
      </c>
      <c r="H63" s="32">
        <v>0</v>
      </c>
      <c r="I63" s="32">
        <v>16</v>
      </c>
      <c r="J63" s="32">
        <v>9</v>
      </c>
      <c r="K63" s="32">
        <v>0</v>
      </c>
      <c r="L63" s="32">
        <v>0</v>
      </c>
      <c r="M63" s="32">
        <v>0</v>
      </c>
      <c r="N63" s="32">
        <v>0</v>
      </c>
      <c r="O63" s="32">
        <v>0</v>
      </c>
      <c r="P63" s="32">
        <v>0</v>
      </c>
      <c r="Q63" s="32">
        <v>0</v>
      </c>
      <c r="R63" s="32">
        <v>0</v>
      </c>
      <c r="S63" s="32">
        <v>0</v>
      </c>
      <c r="T63" s="32">
        <v>0</v>
      </c>
      <c r="U63" s="32">
        <v>3</v>
      </c>
      <c r="V63" s="32">
        <v>0</v>
      </c>
      <c r="W63" s="33">
        <v>3</v>
      </c>
      <c r="X63" s="3"/>
    </row>
    <row r="64" spans="1:24" x14ac:dyDescent="0.15">
      <c r="A64" s="3"/>
      <c r="B64" s="31" t="s">
        <v>340</v>
      </c>
      <c r="C64" s="32">
        <v>32</v>
      </c>
      <c r="D64" s="32">
        <v>8</v>
      </c>
      <c r="E64" s="32">
        <v>34</v>
      </c>
      <c r="F64" s="32">
        <v>33</v>
      </c>
      <c r="G64" s="32">
        <v>16</v>
      </c>
      <c r="H64" s="32">
        <v>1</v>
      </c>
      <c r="I64" s="32">
        <v>24</v>
      </c>
      <c r="J64" s="32">
        <v>9</v>
      </c>
      <c r="K64" s="32">
        <v>0</v>
      </c>
      <c r="L64" s="32">
        <v>0</v>
      </c>
      <c r="M64" s="32">
        <v>0</v>
      </c>
      <c r="N64" s="32">
        <v>0</v>
      </c>
      <c r="O64" s="32">
        <v>0</v>
      </c>
      <c r="P64" s="32">
        <v>0</v>
      </c>
      <c r="Q64" s="32">
        <v>0</v>
      </c>
      <c r="R64" s="32">
        <v>0</v>
      </c>
      <c r="S64" s="32">
        <v>1</v>
      </c>
      <c r="T64" s="32">
        <v>0</v>
      </c>
      <c r="U64" s="32">
        <v>0</v>
      </c>
      <c r="V64" s="32">
        <v>0</v>
      </c>
      <c r="W64" s="33">
        <v>3</v>
      </c>
      <c r="X64" s="3"/>
    </row>
    <row r="65" spans="1:24" x14ac:dyDescent="0.15">
      <c r="A65" s="3"/>
      <c r="B65" s="31" t="s">
        <v>341</v>
      </c>
      <c r="C65" s="32">
        <v>35</v>
      </c>
      <c r="D65" s="32">
        <v>6</v>
      </c>
      <c r="E65" s="32">
        <v>35</v>
      </c>
      <c r="F65" s="32">
        <v>30</v>
      </c>
      <c r="G65" s="32">
        <v>12</v>
      </c>
      <c r="H65" s="32">
        <v>1</v>
      </c>
      <c r="I65" s="32">
        <v>23</v>
      </c>
      <c r="J65" s="32">
        <v>14</v>
      </c>
      <c r="K65" s="32">
        <v>0</v>
      </c>
      <c r="L65" s="32">
        <v>0</v>
      </c>
      <c r="M65" s="32">
        <v>1</v>
      </c>
      <c r="N65" s="32">
        <v>2</v>
      </c>
      <c r="O65" s="32">
        <v>2</v>
      </c>
      <c r="P65" s="32">
        <v>0</v>
      </c>
      <c r="Q65" s="32">
        <v>2</v>
      </c>
      <c r="R65" s="32">
        <v>2</v>
      </c>
      <c r="S65" s="32">
        <v>0</v>
      </c>
      <c r="T65" s="32">
        <v>0</v>
      </c>
      <c r="U65" s="32">
        <v>2</v>
      </c>
      <c r="V65" s="32">
        <v>0</v>
      </c>
      <c r="W65" s="33">
        <v>3</v>
      </c>
      <c r="X65" s="3"/>
    </row>
    <row r="66" spans="1:24" x14ac:dyDescent="0.15">
      <c r="A66" s="3"/>
      <c r="B66" s="31" t="s">
        <v>342</v>
      </c>
      <c r="C66" s="32">
        <v>34</v>
      </c>
      <c r="D66" s="32">
        <v>8</v>
      </c>
      <c r="E66" s="32">
        <v>28</v>
      </c>
      <c r="F66" s="32">
        <v>31</v>
      </c>
      <c r="G66" s="32">
        <v>7</v>
      </c>
      <c r="H66" s="32">
        <v>0</v>
      </c>
      <c r="I66" s="32">
        <v>19</v>
      </c>
      <c r="J66" s="32">
        <v>15</v>
      </c>
      <c r="K66" s="32">
        <v>0</v>
      </c>
      <c r="L66" s="32">
        <v>0</v>
      </c>
      <c r="M66" s="32">
        <v>0</v>
      </c>
      <c r="N66" s="32">
        <v>0</v>
      </c>
      <c r="O66" s="32">
        <v>0</v>
      </c>
      <c r="P66" s="32">
        <v>0</v>
      </c>
      <c r="Q66" s="32">
        <v>1</v>
      </c>
      <c r="R66" s="32">
        <v>0</v>
      </c>
      <c r="S66" s="32">
        <v>2</v>
      </c>
      <c r="T66" s="32">
        <v>0</v>
      </c>
      <c r="U66" s="32">
        <v>3</v>
      </c>
      <c r="V66" s="32">
        <v>0</v>
      </c>
      <c r="W66" s="33">
        <v>3</v>
      </c>
      <c r="X66" s="3"/>
    </row>
    <row r="67" spans="1:24" x14ac:dyDescent="0.15">
      <c r="A67" s="3"/>
      <c r="B67" s="31" t="s">
        <v>343</v>
      </c>
      <c r="C67" s="32">
        <v>40</v>
      </c>
      <c r="D67" s="32">
        <v>0</v>
      </c>
      <c r="E67" s="32">
        <v>26</v>
      </c>
      <c r="F67" s="32">
        <v>23</v>
      </c>
      <c r="G67" s="32">
        <v>4</v>
      </c>
      <c r="H67" s="32">
        <v>1</v>
      </c>
      <c r="I67" s="32">
        <v>21</v>
      </c>
      <c r="J67" s="32">
        <v>12</v>
      </c>
      <c r="K67" s="32">
        <v>1</v>
      </c>
      <c r="L67" s="32">
        <v>0</v>
      </c>
      <c r="M67" s="32">
        <v>2</v>
      </c>
      <c r="N67" s="32">
        <v>2</v>
      </c>
      <c r="O67" s="32">
        <v>1</v>
      </c>
      <c r="P67" s="32">
        <v>0</v>
      </c>
      <c r="Q67" s="32">
        <v>0</v>
      </c>
      <c r="R67" s="32">
        <v>0</v>
      </c>
      <c r="S67" s="32">
        <v>0</v>
      </c>
      <c r="T67" s="32">
        <v>1</v>
      </c>
      <c r="U67" s="32">
        <v>3</v>
      </c>
      <c r="V67" s="32">
        <v>1</v>
      </c>
      <c r="W67" s="33">
        <v>1</v>
      </c>
      <c r="X67" s="3"/>
    </row>
    <row r="68" spans="1:24" x14ac:dyDescent="0.15">
      <c r="A68" s="3"/>
      <c r="B68" s="31" t="s">
        <v>344</v>
      </c>
      <c r="C68" s="32">
        <v>41</v>
      </c>
      <c r="D68" s="32">
        <v>0</v>
      </c>
      <c r="E68" s="32">
        <v>38</v>
      </c>
      <c r="F68" s="32">
        <v>35</v>
      </c>
      <c r="G68" s="32">
        <v>12</v>
      </c>
      <c r="H68" s="32">
        <v>2</v>
      </c>
      <c r="I68" s="32">
        <v>22</v>
      </c>
      <c r="J68" s="32">
        <v>17</v>
      </c>
      <c r="K68" s="32">
        <v>0</v>
      </c>
      <c r="L68" s="32">
        <v>0</v>
      </c>
      <c r="M68" s="32">
        <v>0</v>
      </c>
      <c r="N68" s="32">
        <v>0</v>
      </c>
      <c r="O68" s="32">
        <v>0</v>
      </c>
      <c r="P68" s="32">
        <v>1</v>
      </c>
      <c r="Q68" s="32">
        <v>0</v>
      </c>
      <c r="R68" s="32">
        <v>1</v>
      </c>
      <c r="S68" s="32">
        <v>3</v>
      </c>
      <c r="T68" s="32">
        <v>0</v>
      </c>
      <c r="U68" s="32">
        <v>3</v>
      </c>
      <c r="V68" s="32">
        <v>1</v>
      </c>
      <c r="W68" s="33">
        <v>3</v>
      </c>
      <c r="X68" s="3"/>
    </row>
    <row r="69" spans="1:24" x14ac:dyDescent="0.15">
      <c r="A69" s="3"/>
      <c r="B69" s="31" t="s">
        <v>345</v>
      </c>
      <c r="C69" s="32">
        <v>25</v>
      </c>
      <c r="D69" s="32">
        <v>3</v>
      </c>
      <c r="E69" s="32">
        <v>27</v>
      </c>
      <c r="F69" s="32">
        <v>22</v>
      </c>
      <c r="G69" s="32">
        <v>15</v>
      </c>
      <c r="H69" s="32">
        <v>0</v>
      </c>
      <c r="I69" s="32">
        <v>19</v>
      </c>
      <c r="J69" s="32">
        <v>18</v>
      </c>
      <c r="K69" s="32">
        <v>0</v>
      </c>
      <c r="L69" s="32">
        <v>0</v>
      </c>
      <c r="M69" s="32">
        <v>1</v>
      </c>
      <c r="N69" s="32">
        <v>1</v>
      </c>
      <c r="O69" s="32">
        <v>0</v>
      </c>
      <c r="P69" s="32">
        <v>0</v>
      </c>
      <c r="Q69" s="32">
        <v>0</v>
      </c>
      <c r="R69" s="32">
        <v>0</v>
      </c>
      <c r="S69" s="32">
        <v>2</v>
      </c>
      <c r="T69" s="32">
        <v>0</v>
      </c>
      <c r="U69" s="32">
        <v>0</v>
      </c>
      <c r="V69" s="32">
        <v>0</v>
      </c>
      <c r="W69" s="33">
        <v>3</v>
      </c>
      <c r="X69" s="3"/>
    </row>
    <row r="70" spans="1:24" x14ac:dyDescent="0.15">
      <c r="A70" s="3"/>
      <c r="B70" s="31" t="s">
        <v>346</v>
      </c>
      <c r="C70" s="32">
        <v>16</v>
      </c>
      <c r="D70" s="32">
        <v>0</v>
      </c>
      <c r="E70" s="32">
        <v>24</v>
      </c>
      <c r="F70" s="32">
        <v>20</v>
      </c>
      <c r="G70" s="32">
        <v>8</v>
      </c>
      <c r="H70" s="32">
        <v>0</v>
      </c>
      <c r="I70" s="32">
        <v>9</v>
      </c>
      <c r="J70" s="32">
        <v>6</v>
      </c>
      <c r="K70" s="32">
        <v>0</v>
      </c>
      <c r="L70" s="32">
        <v>0</v>
      </c>
      <c r="M70" s="32">
        <v>0</v>
      </c>
      <c r="N70" s="32">
        <v>0</v>
      </c>
      <c r="O70" s="32">
        <v>0</v>
      </c>
      <c r="P70" s="32">
        <v>0</v>
      </c>
      <c r="Q70" s="32">
        <v>0</v>
      </c>
      <c r="R70" s="32">
        <v>0</v>
      </c>
      <c r="S70" s="32">
        <v>0</v>
      </c>
      <c r="T70" s="32">
        <v>0</v>
      </c>
      <c r="U70" s="32">
        <v>3</v>
      </c>
      <c r="V70" s="32">
        <v>0</v>
      </c>
      <c r="W70" s="33">
        <v>3</v>
      </c>
      <c r="X70" s="3"/>
    </row>
    <row r="71" spans="1:24" x14ac:dyDescent="0.15">
      <c r="A71" s="3"/>
      <c r="B71" s="31" t="s">
        <v>347</v>
      </c>
      <c r="C71" s="32">
        <v>25</v>
      </c>
      <c r="D71" s="32">
        <v>0</v>
      </c>
      <c r="E71" s="32">
        <v>35</v>
      </c>
      <c r="F71" s="32">
        <v>48</v>
      </c>
      <c r="G71" s="32">
        <v>14</v>
      </c>
      <c r="H71" s="32">
        <v>1</v>
      </c>
      <c r="I71" s="32">
        <v>21</v>
      </c>
      <c r="J71" s="32">
        <v>13</v>
      </c>
      <c r="K71" s="32">
        <v>1</v>
      </c>
      <c r="L71" s="32">
        <v>1</v>
      </c>
      <c r="M71" s="32">
        <v>1</v>
      </c>
      <c r="N71" s="32">
        <v>1</v>
      </c>
      <c r="O71" s="32">
        <v>1</v>
      </c>
      <c r="P71" s="32">
        <v>1</v>
      </c>
      <c r="Q71" s="32">
        <v>1</v>
      </c>
      <c r="R71" s="32">
        <v>0</v>
      </c>
      <c r="S71" s="32">
        <v>1</v>
      </c>
      <c r="T71" s="32">
        <v>0</v>
      </c>
      <c r="U71" s="32">
        <v>3</v>
      </c>
      <c r="V71" s="32">
        <v>0</v>
      </c>
      <c r="W71" s="33">
        <v>3</v>
      </c>
      <c r="X71" s="3"/>
    </row>
    <row r="72" spans="1:24" x14ac:dyDescent="0.15">
      <c r="A72" s="3"/>
      <c r="B72" s="31" t="s">
        <v>348</v>
      </c>
      <c r="C72" s="32">
        <v>28</v>
      </c>
      <c r="D72" s="32">
        <v>0</v>
      </c>
      <c r="E72" s="32">
        <v>29</v>
      </c>
      <c r="F72" s="32">
        <v>22</v>
      </c>
      <c r="G72" s="32">
        <v>12</v>
      </c>
      <c r="H72" s="32">
        <v>0</v>
      </c>
      <c r="I72" s="32">
        <v>15</v>
      </c>
      <c r="J72" s="32">
        <v>14</v>
      </c>
      <c r="K72" s="32">
        <v>1</v>
      </c>
      <c r="L72" s="32">
        <v>0</v>
      </c>
      <c r="M72" s="32">
        <v>1</v>
      </c>
      <c r="N72" s="32">
        <v>1</v>
      </c>
      <c r="O72" s="32">
        <v>0</v>
      </c>
      <c r="P72" s="32">
        <v>0</v>
      </c>
      <c r="Q72" s="32">
        <v>0</v>
      </c>
      <c r="R72" s="32">
        <v>0</v>
      </c>
      <c r="S72" s="32">
        <v>0</v>
      </c>
      <c r="T72" s="32">
        <v>0</v>
      </c>
      <c r="U72" s="32">
        <v>3</v>
      </c>
      <c r="V72" s="32">
        <v>0</v>
      </c>
      <c r="W72" s="33">
        <v>3</v>
      </c>
      <c r="X72" s="3"/>
    </row>
    <row r="73" spans="1:24" x14ac:dyDescent="0.15">
      <c r="A73" s="3"/>
      <c r="B73" s="31" t="s">
        <v>349</v>
      </c>
      <c r="C73" s="32">
        <v>28</v>
      </c>
      <c r="D73" s="32">
        <v>3</v>
      </c>
      <c r="E73" s="32">
        <v>29</v>
      </c>
      <c r="F73" s="32">
        <v>20</v>
      </c>
      <c r="G73" s="32">
        <v>13</v>
      </c>
      <c r="H73" s="32">
        <v>0</v>
      </c>
      <c r="I73" s="32">
        <v>18</v>
      </c>
      <c r="J73" s="32">
        <v>14</v>
      </c>
      <c r="K73" s="32">
        <v>0</v>
      </c>
      <c r="L73" s="32">
        <v>0</v>
      </c>
      <c r="M73" s="32">
        <v>0</v>
      </c>
      <c r="N73" s="32">
        <v>0</v>
      </c>
      <c r="O73" s="32">
        <v>0</v>
      </c>
      <c r="P73" s="32">
        <v>0</v>
      </c>
      <c r="Q73" s="32">
        <v>0</v>
      </c>
      <c r="R73" s="32">
        <v>0</v>
      </c>
      <c r="S73" s="32">
        <v>0</v>
      </c>
      <c r="T73" s="32">
        <v>0</v>
      </c>
      <c r="U73" s="32">
        <v>3</v>
      </c>
      <c r="V73" s="32">
        <v>0</v>
      </c>
      <c r="W73" s="33">
        <v>3</v>
      </c>
      <c r="X73" s="3"/>
    </row>
    <row r="74" spans="1:24" x14ac:dyDescent="0.15">
      <c r="A74" s="3"/>
      <c r="B74" s="31" t="s">
        <v>350</v>
      </c>
      <c r="C74" s="32">
        <v>23</v>
      </c>
      <c r="D74" s="32">
        <v>0</v>
      </c>
      <c r="E74" s="32">
        <v>28</v>
      </c>
      <c r="F74" s="32">
        <v>23</v>
      </c>
      <c r="G74" s="32">
        <v>12</v>
      </c>
      <c r="H74" s="32">
        <v>1</v>
      </c>
      <c r="I74" s="32">
        <v>15</v>
      </c>
      <c r="J74" s="32">
        <v>11</v>
      </c>
      <c r="K74" s="32">
        <v>0</v>
      </c>
      <c r="L74" s="32">
        <v>0</v>
      </c>
      <c r="M74" s="32">
        <v>0</v>
      </c>
      <c r="N74" s="32">
        <v>0</v>
      </c>
      <c r="O74" s="32">
        <v>0</v>
      </c>
      <c r="P74" s="32">
        <v>0</v>
      </c>
      <c r="Q74" s="32">
        <v>0</v>
      </c>
      <c r="R74" s="32">
        <v>0</v>
      </c>
      <c r="S74" s="32">
        <v>0</v>
      </c>
      <c r="T74" s="32">
        <v>0</v>
      </c>
      <c r="U74" s="32">
        <v>3</v>
      </c>
      <c r="V74" s="32">
        <v>0</v>
      </c>
      <c r="W74" s="33">
        <v>3</v>
      </c>
      <c r="X74" s="3"/>
    </row>
    <row r="75" spans="1:24" x14ac:dyDescent="0.15">
      <c r="A75" s="3"/>
      <c r="B75" s="31" t="s">
        <v>352</v>
      </c>
      <c r="C75" s="32">
        <v>22</v>
      </c>
      <c r="D75" s="32">
        <v>0</v>
      </c>
      <c r="E75" s="32">
        <v>24</v>
      </c>
      <c r="F75" s="32">
        <v>19</v>
      </c>
      <c r="G75" s="32">
        <v>8</v>
      </c>
      <c r="H75" s="32">
        <v>1</v>
      </c>
      <c r="I75" s="32">
        <v>14</v>
      </c>
      <c r="J75" s="32">
        <v>12</v>
      </c>
      <c r="K75" s="32">
        <v>0</v>
      </c>
      <c r="L75" s="32">
        <v>0</v>
      </c>
      <c r="M75" s="32">
        <v>0</v>
      </c>
      <c r="N75" s="32">
        <v>0</v>
      </c>
      <c r="O75" s="32">
        <v>0</v>
      </c>
      <c r="P75" s="32">
        <v>0</v>
      </c>
      <c r="Q75" s="32">
        <v>0</v>
      </c>
      <c r="R75" s="32">
        <v>0</v>
      </c>
      <c r="S75" s="32">
        <v>0</v>
      </c>
      <c r="T75" s="32">
        <v>0</v>
      </c>
      <c r="U75" s="32">
        <v>3</v>
      </c>
      <c r="V75" s="32">
        <v>0</v>
      </c>
      <c r="W75" s="33">
        <v>3</v>
      </c>
      <c r="X75" s="3"/>
    </row>
    <row r="76" spans="1:24" x14ac:dyDescent="0.15">
      <c r="A76" s="3"/>
      <c r="B76" s="31" t="s">
        <v>353</v>
      </c>
      <c r="C76" s="32">
        <v>7</v>
      </c>
      <c r="D76" s="32">
        <v>0</v>
      </c>
      <c r="E76" s="32">
        <v>8</v>
      </c>
      <c r="F76" s="32">
        <v>5</v>
      </c>
      <c r="G76" s="32">
        <v>3</v>
      </c>
      <c r="H76" s="32">
        <v>0</v>
      </c>
      <c r="I76" s="32">
        <v>1</v>
      </c>
      <c r="J76" s="32">
        <v>1</v>
      </c>
      <c r="K76" s="32">
        <v>0</v>
      </c>
      <c r="L76" s="32">
        <v>0</v>
      </c>
      <c r="M76" s="32">
        <v>0</v>
      </c>
      <c r="N76" s="32">
        <v>0</v>
      </c>
      <c r="O76" s="32">
        <v>0</v>
      </c>
      <c r="P76" s="32">
        <v>0</v>
      </c>
      <c r="Q76" s="32">
        <v>0</v>
      </c>
      <c r="R76" s="32">
        <v>0</v>
      </c>
      <c r="S76" s="32">
        <v>0</v>
      </c>
      <c r="T76" s="32">
        <v>0</v>
      </c>
      <c r="U76" s="32">
        <v>3</v>
      </c>
      <c r="V76" s="32">
        <v>0</v>
      </c>
      <c r="W76" s="33">
        <v>3</v>
      </c>
      <c r="X76" s="3"/>
    </row>
    <row r="77" spans="1:24" x14ac:dyDescent="0.15">
      <c r="A77" s="3"/>
      <c r="B77" s="31" t="s">
        <v>355</v>
      </c>
      <c r="C77" s="32">
        <v>12</v>
      </c>
      <c r="D77" s="32">
        <v>0</v>
      </c>
      <c r="E77" s="32">
        <v>19</v>
      </c>
      <c r="F77" s="32">
        <v>14</v>
      </c>
      <c r="G77" s="32">
        <v>5</v>
      </c>
      <c r="H77" s="32">
        <v>0</v>
      </c>
      <c r="I77" s="32">
        <v>8</v>
      </c>
      <c r="J77" s="32">
        <v>9</v>
      </c>
      <c r="K77" s="32">
        <v>0</v>
      </c>
      <c r="L77" s="32">
        <v>0</v>
      </c>
      <c r="M77" s="32">
        <v>0</v>
      </c>
      <c r="N77" s="32">
        <v>0</v>
      </c>
      <c r="O77" s="32">
        <v>0</v>
      </c>
      <c r="P77" s="32">
        <v>0</v>
      </c>
      <c r="Q77" s="32">
        <v>0</v>
      </c>
      <c r="R77" s="32">
        <v>0</v>
      </c>
      <c r="S77" s="32">
        <v>0</v>
      </c>
      <c r="T77" s="32">
        <v>0</v>
      </c>
      <c r="U77" s="32">
        <v>3</v>
      </c>
      <c r="V77" s="32">
        <v>0</v>
      </c>
      <c r="W77" s="33">
        <v>3</v>
      </c>
      <c r="X77" s="3"/>
    </row>
    <row r="78" spans="1:24" x14ac:dyDescent="0.15">
      <c r="A78" s="3"/>
      <c r="B78" s="31" t="s">
        <v>356</v>
      </c>
      <c r="C78" s="32">
        <v>14</v>
      </c>
      <c r="D78" s="32">
        <v>0</v>
      </c>
      <c r="E78" s="32">
        <v>18</v>
      </c>
      <c r="F78" s="32">
        <v>36</v>
      </c>
      <c r="G78" s="32">
        <v>6</v>
      </c>
      <c r="H78" s="32">
        <v>0</v>
      </c>
      <c r="I78" s="32">
        <v>12</v>
      </c>
      <c r="J78" s="32">
        <v>11</v>
      </c>
      <c r="K78" s="32">
        <v>0</v>
      </c>
      <c r="L78" s="32">
        <v>0</v>
      </c>
      <c r="M78" s="32">
        <v>0</v>
      </c>
      <c r="N78" s="32">
        <v>0</v>
      </c>
      <c r="O78" s="32">
        <v>0</v>
      </c>
      <c r="P78" s="32">
        <v>0</v>
      </c>
      <c r="Q78" s="32">
        <v>0</v>
      </c>
      <c r="R78" s="32">
        <v>0</v>
      </c>
      <c r="S78" s="32">
        <v>0</v>
      </c>
      <c r="T78" s="32">
        <v>0</v>
      </c>
      <c r="U78" s="32">
        <v>3</v>
      </c>
      <c r="V78" s="32">
        <v>0</v>
      </c>
      <c r="W78" s="33">
        <v>3</v>
      </c>
      <c r="X78" s="3"/>
    </row>
    <row r="79" spans="1:24" x14ac:dyDescent="0.15">
      <c r="A79" s="3"/>
      <c r="B79" s="31" t="s">
        <v>357</v>
      </c>
      <c r="C79" s="32">
        <v>18</v>
      </c>
      <c r="D79" s="32">
        <v>0</v>
      </c>
      <c r="E79" s="32">
        <v>20</v>
      </c>
      <c r="F79" s="32">
        <v>15</v>
      </c>
      <c r="G79" s="32">
        <v>7</v>
      </c>
      <c r="H79" s="32">
        <v>1</v>
      </c>
      <c r="I79" s="32">
        <v>11</v>
      </c>
      <c r="J79" s="32">
        <v>12</v>
      </c>
      <c r="K79" s="32">
        <v>0</v>
      </c>
      <c r="L79" s="32">
        <v>0</v>
      </c>
      <c r="M79" s="32">
        <v>0</v>
      </c>
      <c r="N79" s="32">
        <v>0</v>
      </c>
      <c r="O79" s="32">
        <v>0</v>
      </c>
      <c r="P79" s="32">
        <v>0</v>
      </c>
      <c r="Q79" s="32">
        <v>0</v>
      </c>
      <c r="R79" s="32">
        <v>0</v>
      </c>
      <c r="S79" s="32">
        <v>0</v>
      </c>
      <c r="T79" s="32">
        <v>0</v>
      </c>
      <c r="U79" s="32">
        <v>3</v>
      </c>
      <c r="V79" s="32">
        <v>0</v>
      </c>
      <c r="W79" s="33">
        <v>3</v>
      </c>
      <c r="X79" s="3"/>
    </row>
    <row r="80" spans="1:24" x14ac:dyDescent="0.15">
      <c r="A80" s="3"/>
      <c r="B80" s="31" t="s">
        <v>405</v>
      </c>
      <c r="C80" s="32">
        <v>13</v>
      </c>
      <c r="D80" s="32">
        <v>0</v>
      </c>
      <c r="E80" s="32">
        <v>14</v>
      </c>
      <c r="F80" s="32">
        <v>12</v>
      </c>
      <c r="G80" s="32">
        <v>5</v>
      </c>
      <c r="H80" s="32">
        <v>0</v>
      </c>
      <c r="I80" s="32">
        <v>6</v>
      </c>
      <c r="J80" s="32">
        <v>8</v>
      </c>
      <c r="K80" s="32">
        <v>0</v>
      </c>
      <c r="L80" s="32">
        <v>0</v>
      </c>
      <c r="M80" s="32">
        <v>0</v>
      </c>
      <c r="N80" s="32">
        <v>0</v>
      </c>
      <c r="O80" s="32">
        <v>0</v>
      </c>
      <c r="P80" s="32">
        <v>0</v>
      </c>
      <c r="Q80" s="32">
        <v>0</v>
      </c>
      <c r="R80" s="32">
        <v>0</v>
      </c>
      <c r="S80" s="32">
        <v>0</v>
      </c>
      <c r="T80" s="32">
        <v>0</v>
      </c>
      <c r="U80" s="32">
        <v>3</v>
      </c>
      <c r="V80" s="32">
        <v>0</v>
      </c>
      <c r="W80" s="33">
        <v>1</v>
      </c>
      <c r="X80" s="3"/>
    </row>
    <row r="81" spans="1:24" x14ac:dyDescent="0.15">
      <c r="A81" s="3"/>
      <c r="B81" s="31" t="s">
        <v>402</v>
      </c>
      <c r="C81" s="32">
        <v>10</v>
      </c>
      <c r="D81" s="32">
        <v>0</v>
      </c>
      <c r="E81" s="32">
        <v>15</v>
      </c>
      <c r="F81" s="32">
        <v>10</v>
      </c>
      <c r="G81" s="32">
        <v>8</v>
      </c>
      <c r="H81" s="32">
        <v>2</v>
      </c>
      <c r="I81" s="32">
        <v>6</v>
      </c>
      <c r="J81" s="32">
        <v>5</v>
      </c>
      <c r="K81" s="32">
        <v>0</v>
      </c>
      <c r="L81" s="32">
        <v>0</v>
      </c>
      <c r="M81" s="32">
        <v>0</v>
      </c>
      <c r="N81" s="32">
        <v>0</v>
      </c>
      <c r="O81" s="32">
        <v>0</v>
      </c>
      <c r="P81" s="32">
        <v>0</v>
      </c>
      <c r="Q81" s="32">
        <v>0</v>
      </c>
      <c r="R81" s="32">
        <v>0</v>
      </c>
      <c r="S81" s="32">
        <v>0</v>
      </c>
      <c r="T81" s="32">
        <v>0</v>
      </c>
      <c r="U81" s="32">
        <v>3</v>
      </c>
      <c r="V81" s="32">
        <v>0</v>
      </c>
      <c r="W81" s="33">
        <v>3</v>
      </c>
      <c r="X81" s="3"/>
    </row>
    <row r="82" spans="1:24" x14ac:dyDescent="0.15">
      <c r="A82" s="3"/>
      <c r="B82" s="31" t="s">
        <v>403</v>
      </c>
      <c r="C82" s="32">
        <v>20</v>
      </c>
      <c r="D82" s="32">
        <v>3</v>
      </c>
      <c r="E82" s="32">
        <v>16</v>
      </c>
      <c r="F82" s="32">
        <v>14</v>
      </c>
      <c r="G82" s="32">
        <v>6</v>
      </c>
      <c r="H82" s="32">
        <v>0</v>
      </c>
      <c r="I82" s="32">
        <v>10</v>
      </c>
      <c r="J82" s="32">
        <v>10</v>
      </c>
      <c r="K82" s="32">
        <v>0</v>
      </c>
      <c r="L82" s="32">
        <v>0</v>
      </c>
      <c r="M82" s="32">
        <v>0</v>
      </c>
      <c r="N82" s="32">
        <v>0</v>
      </c>
      <c r="O82" s="32">
        <v>0</v>
      </c>
      <c r="P82" s="32">
        <v>0</v>
      </c>
      <c r="Q82" s="32">
        <v>0</v>
      </c>
      <c r="R82" s="32">
        <v>0</v>
      </c>
      <c r="S82" s="32">
        <v>0</v>
      </c>
      <c r="T82" s="32">
        <v>0</v>
      </c>
      <c r="U82" s="32">
        <v>3</v>
      </c>
      <c r="V82" s="32">
        <v>0</v>
      </c>
      <c r="W82" s="33">
        <v>3</v>
      </c>
      <c r="X82" s="3"/>
    </row>
    <row r="83" spans="1:24" x14ac:dyDescent="0.15">
      <c r="A83" s="3"/>
      <c r="B83" s="35" t="s">
        <v>358</v>
      </c>
      <c r="C83" s="36">
        <v>19</v>
      </c>
      <c r="D83" s="36">
        <v>3</v>
      </c>
      <c r="E83" s="36">
        <v>21</v>
      </c>
      <c r="F83" s="36">
        <v>18</v>
      </c>
      <c r="G83" s="36">
        <v>8</v>
      </c>
      <c r="H83" s="36">
        <v>0</v>
      </c>
      <c r="I83" s="36">
        <v>13</v>
      </c>
      <c r="J83" s="36">
        <v>19</v>
      </c>
      <c r="K83" s="36">
        <v>1</v>
      </c>
      <c r="L83" s="36">
        <v>0</v>
      </c>
      <c r="M83" s="36">
        <v>1</v>
      </c>
      <c r="N83" s="36">
        <v>1</v>
      </c>
      <c r="O83" s="36">
        <v>0</v>
      </c>
      <c r="P83" s="36">
        <v>0</v>
      </c>
      <c r="Q83" s="36">
        <v>0</v>
      </c>
      <c r="R83" s="36">
        <v>0</v>
      </c>
      <c r="S83" s="36">
        <v>3</v>
      </c>
      <c r="T83" s="36">
        <v>0</v>
      </c>
      <c r="U83" s="36">
        <v>0</v>
      </c>
      <c r="V83" s="36">
        <v>0</v>
      </c>
      <c r="W83" s="37">
        <v>3</v>
      </c>
      <c r="X83" s="3"/>
    </row>
    <row r="84" spans="1:24" x14ac:dyDescent="0.15">
      <c r="A84" s="3"/>
      <c r="B84" s="3"/>
      <c r="C84" s="3"/>
      <c r="D84" s="3"/>
      <c r="E84" s="3"/>
      <c r="F84" s="3"/>
      <c r="G84" s="3"/>
      <c r="H84" s="3"/>
      <c r="I84" s="3"/>
      <c r="J84" s="3"/>
      <c r="K84" s="3"/>
      <c r="L84" s="3"/>
      <c r="M84" s="3"/>
      <c r="N84" s="3"/>
      <c r="O84" s="3"/>
      <c r="P84" s="3"/>
      <c r="Q84" s="3"/>
      <c r="R84" s="3"/>
      <c r="S84" s="3"/>
      <c r="T84" s="3"/>
      <c r="U84" s="3"/>
      <c r="V84" s="3"/>
      <c r="W84" s="3"/>
      <c r="X84" s="3"/>
    </row>
  </sheetData>
  <mergeCells count="1">
    <mergeCell ref="B1:W2"/>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32"/>
  <sheetViews>
    <sheetView workbookViewId="0">
      <selection activeCell="C9" sqref="C9:I9"/>
    </sheetView>
  </sheetViews>
  <sheetFormatPr defaultRowHeight="11.25" x14ac:dyDescent="0.15"/>
  <cols>
    <col min="1" max="1" width="1.625" style="1" customWidth="1"/>
    <col min="2" max="2" width="13.125" style="1" customWidth="1"/>
    <col min="3" max="25" width="3.625" style="1" customWidth="1"/>
    <col min="26" max="26" width="1.625" style="1" customWidth="1"/>
    <col min="27" max="16384" width="9" style="1"/>
  </cols>
  <sheetData>
    <row r="1" spans="1:26" x14ac:dyDescent="0.15">
      <c r="A1" s="93"/>
      <c r="B1" s="304" t="s">
        <v>567</v>
      </c>
      <c r="C1" s="304"/>
      <c r="D1" s="304"/>
      <c r="E1" s="304"/>
      <c r="F1" s="304"/>
      <c r="G1" s="304"/>
      <c r="H1" s="304"/>
      <c r="I1" s="304"/>
      <c r="J1" s="304"/>
      <c r="K1" s="304"/>
      <c r="L1" s="304"/>
      <c r="M1" s="304"/>
      <c r="N1" s="304"/>
      <c r="O1" s="304"/>
      <c r="P1" s="304"/>
      <c r="Q1" s="304"/>
      <c r="R1" s="304"/>
      <c r="S1" s="304"/>
      <c r="T1" s="304"/>
      <c r="U1" s="304"/>
      <c r="V1" s="304"/>
      <c r="W1" s="304"/>
      <c r="X1" s="304"/>
      <c r="Y1" s="304"/>
      <c r="Z1" s="93"/>
    </row>
    <row r="2" spans="1:26" x14ac:dyDescent="0.15">
      <c r="A2" s="93"/>
      <c r="B2" s="256"/>
      <c r="C2" s="256"/>
      <c r="D2" s="256"/>
      <c r="E2" s="256"/>
      <c r="F2" s="256"/>
      <c r="G2" s="256"/>
      <c r="H2" s="256"/>
      <c r="I2" s="256"/>
      <c r="J2" s="256"/>
      <c r="K2" s="256"/>
      <c r="L2" s="256"/>
      <c r="M2" s="256"/>
      <c r="N2" s="256"/>
      <c r="O2" s="256"/>
      <c r="P2" s="256"/>
      <c r="Q2" s="256"/>
      <c r="R2" s="256"/>
      <c r="S2" s="256"/>
      <c r="T2" s="256"/>
      <c r="U2" s="256"/>
      <c r="V2" s="256"/>
      <c r="W2" s="256"/>
      <c r="X2" s="256"/>
      <c r="Y2" s="256"/>
      <c r="Z2" s="93"/>
    </row>
    <row r="3" spans="1:26" x14ac:dyDescent="0.15">
      <c r="A3" s="93"/>
      <c r="B3" s="22" t="s">
        <v>364</v>
      </c>
      <c r="C3" s="22" t="s">
        <v>220</v>
      </c>
      <c r="D3" s="22" t="s">
        <v>456</v>
      </c>
      <c r="E3" s="22" t="s">
        <v>370</v>
      </c>
      <c r="F3" s="22" t="s">
        <v>371</v>
      </c>
      <c r="G3" s="22" t="s">
        <v>372</v>
      </c>
      <c r="H3" s="22" t="s">
        <v>373</v>
      </c>
      <c r="I3" s="22" t="s">
        <v>374</v>
      </c>
      <c r="J3" s="22" t="s">
        <v>375</v>
      </c>
      <c r="K3" s="22" t="s">
        <v>322</v>
      </c>
      <c r="L3" s="22" t="s">
        <v>537</v>
      </c>
      <c r="M3" s="22" t="s">
        <v>538</v>
      </c>
      <c r="N3" s="22" t="s">
        <v>539</v>
      </c>
      <c r="O3" s="22" t="s">
        <v>540</v>
      </c>
      <c r="P3" s="22" t="s">
        <v>541</v>
      </c>
      <c r="Q3" s="22" t="s">
        <v>542</v>
      </c>
      <c r="R3" s="22" t="s">
        <v>321</v>
      </c>
      <c r="S3" s="22" t="s">
        <v>543</v>
      </c>
      <c r="T3" s="22" t="s">
        <v>544</v>
      </c>
      <c r="U3" s="22" t="s">
        <v>376</v>
      </c>
      <c r="V3" s="22" t="s">
        <v>320</v>
      </c>
      <c r="W3" s="22" t="s">
        <v>545</v>
      </c>
      <c r="X3" s="22" t="s">
        <v>546</v>
      </c>
      <c r="Y3" s="22" t="s">
        <v>566</v>
      </c>
      <c r="Z3" s="93"/>
    </row>
    <row r="4" spans="1:26" x14ac:dyDescent="0.15">
      <c r="A4" s="93"/>
      <c r="B4" s="96" t="s">
        <v>182</v>
      </c>
      <c r="C4" s="32">
        <v>0</v>
      </c>
      <c r="D4" s="32">
        <v>0</v>
      </c>
      <c r="E4" s="32">
        <v>0</v>
      </c>
      <c r="F4" s="32">
        <v>0</v>
      </c>
      <c r="G4" s="32">
        <v>0</v>
      </c>
      <c r="H4" s="32">
        <v>0</v>
      </c>
      <c r="I4" s="32">
        <v>0</v>
      </c>
      <c r="J4" s="32">
        <v>1</v>
      </c>
      <c r="K4" s="32">
        <v>0</v>
      </c>
      <c r="L4" s="32">
        <v>3</v>
      </c>
      <c r="M4" s="32">
        <v>2</v>
      </c>
      <c r="N4" s="32">
        <v>3</v>
      </c>
      <c r="O4" s="32">
        <v>2</v>
      </c>
      <c r="P4" s="32">
        <v>0</v>
      </c>
      <c r="Q4" s="32">
        <v>2</v>
      </c>
      <c r="R4" s="32">
        <v>2</v>
      </c>
      <c r="S4" s="32">
        <v>2</v>
      </c>
      <c r="T4" s="32">
        <v>2</v>
      </c>
      <c r="U4" s="32">
        <v>2</v>
      </c>
      <c r="V4" s="32">
        <v>2</v>
      </c>
      <c r="W4" s="32">
        <v>2</v>
      </c>
      <c r="X4" s="32">
        <v>0</v>
      </c>
      <c r="Y4" s="97">
        <f t="shared" ref="Y4:Y9" si="0">1/64</f>
        <v>1.5625E-2</v>
      </c>
      <c r="Z4" s="93"/>
    </row>
    <row r="5" spans="1:26" x14ac:dyDescent="0.15">
      <c r="A5" s="93"/>
      <c r="B5" s="96" t="s">
        <v>365</v>
      </c>
      <c r="C5" s="32">
        <v>0</v>
      </c>
      <c r="D5" s="32">
        <v>0</v>
      </c>
      <c r="E5" s="32">
        <v>0</v>
      </c>
      <c r="F5" s="32">
        <v>0</v>
      </c>
      <c r="G5" s="32">
        <v>0</v>
      </c>
      <c r="H5" s="32">
        <v>0</v>
      </c>
      <c r="I5" s="32">
        <v>0</v>
      </c>
      <c r="J5" s="32">
        <v>0</v>
      </c>
      <c r="K5" s="32">
        <v>0</v>
      </c>
      <c r="L5" s="32">
        <v>3</v>
      </c>
      <c r="M5" s="32">
        <v>2</v>
      </c>
      <c r="N5" s="32">
        <v>1</v>
      </c>
      <c r="O5" s="32">
        <v>2</v>
      </c>
      <c r="P5" s="32">
        <v>0</v>
      </c>
      <c r="Q5" s="32">
        <v>2</v>
      </c>
      <c r="R5" s="32">
        <v>2</v>
      </c>
      <c r="S5" s="32">
        <v>2</v>
      </c>
      <c r="T5" s="32">
        <v>2</v>
      </c>
      <c r="U5" s="32">
        <v>2</v>
      </c>
      <c r="V5" s="32">
        <v>2</v>
      </c>
      <c r="W5" s="32">
        <v>2</v>
      </c>
      <c r="X5" s="32">
        <v>0</v>
      </c>
      <c r="Y5" s="97">
        <f t="shared" si="0"/>
        <v>1.5625E-2</v>
      </c>
      <c r="Z5" s="93"/>
    </row>
    <row r="6" spans="1:26" x14ac:dyDescent="0.15">
      <c r="A6" s="93"/>
      <c r="B6" s="96" t="s">
        <v>366</v>
      </c>
      <c r="C6" s="32">
        <v>0</v>
      </c>
      <c r="D6" s="32">
        <v>0</v>
      </c>
      <c r="E6" s="32">
        <v>0</v>
      </c>
      <c r="F6" s="32">
        <v>0</v>
      </c>
      <c r="G6" s="32">
        <v>0</v>
      </c>
      <c r="H6" s="32">
        <v>0</v>
      </c>
      <c r="I6" s="32">
        <v>0</v>
      </c>
      <c r="J6" s="32">
        <v>0</v>
      </c>
      <c r="K6" s="32">
        <v>0</v>
      </c>
      <c r="L6" s="32">
        <v>3</v>
      </c>
      <c r="M6" s="32">
        <v>2</v>
      </c>
      <c r="N6" s="32">
        <v>1</v>
      </c>
      <c r="O6" s="32">
        <v>2</v>
      </c>
      <c r="P6" s="32">
        <v>0</v>
      </c>
      <c r="Q6" s="32">
        <v>2</v>
      </c>
      <c r="R6" s="32">
        <v>3</v>
      </c>
      <c r="S6" s="32">
        <v>2</v>
      </c>
      <c r="T6" s="32">
        <v>2</v>
      </c>
      <c r="U6" s="32">
        <v>2</v>
      </c>
      <c r="V6" s="32">
        <v>3</v>
      </c>
      <c r="W6" s="32">
        <v>2</v>
      </c>
      <c r="X6" s="32">
        <v>1</v>
      </c>
      <c r="Y6" s="97">
        <f t="shared" si="0"/>
        <v>1.5625E-2</v>
      </c>
      <c r="Z6" s="93"/>
    </row>
    <row r="7" spans="1:26" x14ac:dyDescent="0.15">
      <c r="A7" s="93"/>
      <c r="B7" s="96" t="s">
        <v>189</v>
      </c>
      <c r="C7" s="32">
        <v>0</v>
      </c>
      <c r="D7" s="32">
        <v>0</v>
      </c>
      <c r="E7" s="32">
        <v>1</v>
      </c>
      <c r="F7" s="32">
        <v>1</v>
      </c>
      <c r="G7" s="32">
        <v>1</v>
      </c>
      <c r="H7" s="32">
        <v>1</v>
      </c>
      <c r="I7" s="32">
        <v>0</v>
      </c>
      <c r="J7" s="32">
        <v>0</v>
      </c>
      <c r="K7" s="32">
        <v>0</v>
      </c>
      <c r="L7" s="32">
        <v>3</v>
      </c>
      <c r="M7" s="32">
        <v>2</v>
      </c>
      <c r="N7" s="32">
        <v>3</v>
      </c>
      <c r="O7" s="32">
        <v>2</v>
      </c>
      <c r="P7" s="32">
        <v>0</v>
      </c>
      <c r="Q7" s="32">
        <v>2</v>
      </c>
      <c r="R7" s="32">
        <v>2</v>
      </c>
      <c r="S7" s="32">
        <v>2</v>
      </c>
      <c r="T7" s="32">
        <v>2</v>
      </c>
      <c r="U7" s="32">
        <v>2</v>
      </c>
      <c r="V7" s="32">
        <v>2</v>
      </c>
      <c r="W7" s="32">
        <v>2</v>
      </c>
      <c r="X7" s="32">
        <v>0</v>
      </c>
      <c r="Y7" s="97">
        <f t="shared" si="0"/>
        <v>1.5625E-2</v>
      </c>
      <c r="Z7" s="93"/>
    </row>
    <row r="8" spans="1:26" x14ac:dyDescent="0.15">
      <c r="A8" s="93"/>
      <c r="B8" s="96" t="s">
        <v>191</v>
      </c>
      <c r="C8" s="32">
        <v>0</v>
      </c>
      <c r="D8" s="32">
        <v>0</v>
      </c>
      <c r="E8" s="32">
        <v>0</v>
      </c>
      <c r="F8" s="32">
        <v>0</v>
      </c>
      <c r="G8" s="32">
        <v>0</v>
      </c>
      <c r="H8" s="32">
        <v>0</v>
      </c>
      <c r="I8" s="32">
        <v>0</v>
      </c>
      <c r="J8" s="32">
        <v>0</v>
      </c>
      <c r="K8" s="32">
        <v>0</v>
      </c>
      <c r="L8" s="32">
        <v>3</v>
      </c>
      <c r="M8" s="32">
        <v>2</v>
      </c>
      <c r="N8" s="32">
        <v>1</v>
      </c>
      <c r="O8" s="32">
        <v>2</v>
      </c>
      <c r="P8" s="32">
        <v>0</v>
      </c>
      <c r="Q8" s="32">
        <v>2</v>
      </c>
      <c r="R8" s="32">
        <v>2</v>
      </c>
      <c r="S8" s="32">
        <v>2</v>
      </c>
      <c r="T8" s="32">
        <v>2</v>
      </c>
      <c r="U8" s="32">
        <v>2</v>
      </c>
      <c r="V8" s="32">
        <v>2</v>
      </c>
      <c r="W8" s="32">
        <v>2</v>
      </c>
      <c r="X8" s="32">
        <v>0</v>
      </c>
      <c r="Y8" s="97">
        <f t="shared" si="0"/>
        <v>1.5625E-2</v>
      </c>
      <c r="Z8" s="93"/>
    </row>
    <row r="9" spans="1:26" x14ac:dyDescent="0.15">
      <c r="A9" s="93"/>
      <c r="B9" s="96" t="s">
        <v>367</v>
      </c>
      <c r="C9" s="32">
        <v>0</v>
      </c>
      <c r="D9" s="32">
        <v>0</v>
      </c>
      <c r="E9" s="32">
        <v>0</v>
      </c>
      <c r="F9" s="32">
        <v>0</v>
      </c>
      <c r="G9" s="32">
        <v>0</v>
      </c>
      <c r="H9" s="32">
        <v>0</v>
      </c>
      <c r="I9" s="32">
        <v>1</v>
      </c>
      <c r="J9" s="32">
        <v>0</v>
      </c>
      <c r="K9" s="32">
        <v>0</v>
      </c>
      <c r="L9" s="32">
        <v>3</v>
      </c>
      <c r="M9" s="32">
        <v>2</v>
      </c>
      <c r="N9" s="32">
        <v>0</v>
      </c>
      <c r="O9" s="32">
        <v>2</v>
      </c>
      <c r="P9" s="32">
        <v>0</v>
      </c>
      <c r="Q9" s="32">
        <v>2</v>
      </c>
      <c r="R9" s="32">
        <v>2</v>
      </c>
      <c r="S9" s="32">
        <v>2</v>
      </c>
      <c r="T9" s="32">
        <v>2</v>
      </c>
      <c r="U9" s="32">
        <v>2</v>
      </c>
      <c r="V9" s="32">
        <v>2</v>
      </c>
      <c r="W9" s="32">
        <v>2</v>
      </c>
      <c r="X9" s="32">
        <v>0</v>
      </c>
      <c r="Y9" s="97">
        <f t="shared" si="0"/>
        <v>1.5625E-2</v>
      </c>
      <c r="Z9" s="93"/>
    </row>
    <row r="10" spans="1:26" x14ac:dyDescent="0.15">
      <c r="A10" s="93"/>
      <c r="B10" s="96" t="s">
        <v>368</v>
      </c>
      <c r="C10" s="32">
        <v>0</v>
      </c>
      <c r="D10" s="32">
        <v>0</v>
      </c>
      <c r="E10" s="32">
        <v>0</v>
      </c>
      <c r="F10" s="32">
        <v>0</v>
      </c>
      <c r="G10" s="32">
        <v>0</v>
      </c>
      <c r="H10" s="32">
        <v>0</v>
      </c>
      <c r="I10" s="32">
        <v>0</v>
      </c>
      <c r="J10" s="32">
        <v>0</v>
      </c>
      <c r="K10" s="32">
        <v>0</v>
      </c>
      <c r="L10" s="32">
        <v>3</v>
      </c>
      <c r="M10" s="32">
        <v>2</v>
      </c>
      <c r="N10" s="32">
        <v>0</v>
      </c>
      <c r="O10" s="32">
        <v>2</v>
      </c>
      <c r="P10" s="32">
        <v>0</v>
      </c>
      <c r="Q10" s="32">
        <v>2</v>
      </c>
      <c r="R10" s="32">
        <v>2</v>
      </c>
      <c r="S10" s="32">
        <v>2</v>
      </c>
      <c r="T10" s="32">
        <v>2</v>
      </c>
      <c r="U10" s="32">
        <v>2</v>
      </c>
      <c r="V10" s="32">
        <v>2</v>
      </c>
      <c r="W10" s="32">
        <v>2</v>
      </c>
      <c r="X10" s="32">
        <v>0</v>
      </c>
      <c r="Y10" s="97">
        <f>1/16</f>
        <v>6.25E-2</v>
      </c>
      <c r="Z10" s="93"/>
    </row>
    <row r="11" spans="1:26" x14ac:dyDescent="0.15">
      <c r="A11" s="93"/>
      <c r="B11" s="96" t="s">
        <v>369</v>
      </c>
      <c r="C11" s="32">
        <v>0</v>
      </c>
      <c r="D11" s="32">
        <v>0</v>
      </c>
      <c r="E11" s="32">
        <v>0</v>
      </c>
      <c r="F11" s="32">
        <v>0</v>
      </c>
      <c r="G11" s="32">
        <v>0</v>
      </c>
      <c r="H11" s="32">
        <v>0</v>
      </c>
      <c r="I11" s="32">
        <v>1</v>
      </c>
      <c r="J11" s="32">
        <v>1</v>
      </c>
      <c r="K11" s="32">
        <v>0</v>
      </c>
      <c r="L11" s="32">
        <v>3</v>
      </c>
      <c r="M11" s="32">
        <v>2</v>
      </c>
      <c r="N11" s="32">
        <v>1</v>
      </c>
      <c r="O11" s="32">
        <v>2</v>
      </c>
      <c r="P11" s="32">
        <v>0</v>
      </c>
      <c r="Q11" s="32">
        <v>2</v>
      </c>
      <c r="R11" s="32">
        <v>2</v>
      </c>
      <c r="S11" s="32">
        <v>2</v>
      </c>
      <c r="T11" s="32">
        <v>2</v>
      </c>
      <c r="U11" s="32">
        <v>2</v>
      </c>
      <c r="V11" s="32">
        <v>2</v>
      </c>
      <c r="W11" s="32">
        <v>2</v>
      </c>
      <c r="X11" s="32">
        <v>1</v>
      </c>
      <c r="Y11" s="97">
        <f>1/64</f>
        <v>1.5625E-2</v>
      </c>
      <c r="Z11" s="93"/>
    </row>
    <row r="12" spans="1:26" x14ac:dyDescent="0.15">
      <c r="A12" s="93"/>
      <c r="B12" s="96" t="s">
        <v>565</v>
      </c>
      <c r="C12" s="32">
        <v>0</v>
      </c>
      <c r="D12" s="32">
        <v>0</v>
      </c>
      <c r="E12" s="32">
        <v>0</v>
      </c>
      <c r="F12" s="32">
        <v>0</v>
      </c>
      <c r="G12" s="32">
        <v>0</v>
      </c>
      <c r="H12" s="32">
        <v>0</v>
      </c>
      <c r="I12" s="32">
        <v>0</v>
      </c>
      <c r="J12" s="32">
        <v>0</v>
      </c>
      <c r="K12" s="32">
        <v>0</v>
      </c>
      <c r="L12" s="32">
        <v>3</v>
      </c>
      <c r="M12" s="32">
        <v>2</v>
      </c>
      <c r="N12" s="32">
        <v>0</v>
      </c>
      <c r="O12" s="32">
        <v>2</v>
      </c>
      <c r="P12" s="32">
        <v>0</v>
      </c>
      <c r="Q12" s="32">
        <v>2</v>
      </c>
      <c r="R12" s="32">
        <v>2</v>
      </c>
      <c r="S12" s="32">
        <v>2</v>
      </c>
      <c r="T12" s="32">
        <v>2</v>
      </c>
      <c r="U12" s="32">
        <v>2</v>
      </c>
      <c r="V12" s="32">
        <v>2</v>
      </c>
      <c r="W12" s="32">
        <v>2</v>
      </c>
      <c r="X12" s="32">
        <v>3</v>
      </c>
      <c r="Y12" s="97">
        <f t="shared" ref="Y12:Y27" si="1">1/64</f>
        <v>1.5625E-2</v>
      </c>
      <c r="Z12" s="93"/>
    </row>
    <row r="13" spans="1:26" x14ac:dyDescent="0.15">
      <c r="A13" s="93"/>
      <c r="B13" s="96" t="s">
        <v>547</v>
      </c>
      <c r="C13" s="32">
        <v>0</v>
      </c>
      <c r="D13" s="32">
        <v>0</v>
      </c>
      <c r="E13" s="32">
        <v>0</v>
      </c>
      <c r="F13" s="32">
        <v>0</v>
      </c>
      <c r="G13" s="32">
        <v>0</v>
      </c>
      <c r="H13" s="32">
        <v>0</v>
      </c>
      <c r="I13" s="32">
        <v>0</v>
      </c>
      <c r="J13" s="32">
        <v>0</v>
      </c>
      <c r="K13" s="32">
        <v>0</v>
      </c>
      <c r="L13" s="32">
        <v>3</v>
      </c>
      <c r="M13" s="32">
        <v>2</v>
      </c>
      <c r="N13" s="32">
        <v>0</v>
      </c>
      <c r="O13" s="32">
        <v>2</v>
      </c>
      <c r="P13" s="32">
        <v>2</v>
      </c>
      <c r="Q13" s="32">
        <v>2</v>
      </c>
      <c r="R13" s="32">
        <v>2</v>
      </c>
      <c r="S13" s="32">
        <v>2</v>
      </c>
      <c r="T13" s="32">
        <v>2</v>
      </c>
      <c r="U13" s="32">
        <v>2</v>
      </c>
      <c r="V13" s="32">
        <v>2</v>
      </c>
      <c r="W13" s="32">
        <v>2</v>
      </c>
      <c r="X13" s="32">
        <v>1</v>
      </c>
      <c r="Y13" s="97">
        <v>0</v>
      </c>
      <c r="Z13" s="93"/>
    </row>
    <row r="14" spans="1:26" x14ac:dyDescent="0.15">
      <c r="A14" s="93"/>
      <c r="B14" s="96" t="s">
        <v>548</v>
      </c>
      <c r="C14" s="32">
        <v>0</v>
      </c>
      <c r="D14" s="32">
        <v>0</v>
      </c>
      <c r="E14" s="32">
        <v>0</v>
      </c>
      <c r="F14" s="32">
        <v>0</v>
      </c>
      <c r="G14" s="32">
        <v>0</v>
      </c>
      <c r="H14" s="32">
        <v>0</v>
      </c>
      <c r="I14" s="32">
        <v>0</v>
      </c>
      <c r="J14" s="32">
        <v>0</v>
      </c>
      <c r="K14" s="32">
        <v>0</v>
      </c>
      <c r="L14" s="32">
        <v>3</v>
      </c>
      <c r="M14" s="32">
        <v>0</v>
      </c>
      <c r="N14" s="32">
        <v>0</v>
      </c>
      <c r="O14" s="32">
        <v>1</v>
      </c>
      <c r="P14" s="32">
        <v>0</v>
      </c>
      <c r="Q14" s="32">
        <v>0</v>
      </c>
      <c r="R14" s="32">
        <v>2</v>
      </c>
      <c r="S14" s="32">
        <v>2</v>
      </c>
      <c r="T14" s="32">
        <v>1</v>
      </c>
      <c r="U14" s="32">
        <v>0</v>
      </c>
      <c r="V14" s="32">
        <v>0</v>
      </c>
      <c r="W14" s="32">
        <v>2</v>
      </c>
      <c r="X14" s="32">
        <v>3</v>
      </c>
      <c r="Y14" s="97">
        <f t="shared" si="1"/>
        <v>1.5625E-2</v>
      </c>
      <c r="Z14" s="93"/>
    </row>
    <row r="15" spans="1:26" x14ac:dyDescent="0.15">
      <c r="A15" s="93"/>
      <c r="B15" s="96" t="s">
        <v>549</v>
      </c>
      <c r="C15" s="32">
        <v>0</v>
      </c>
      <c r="D15" s="32">
        <v>0</v>
      </c>
      <c r="E15" s="32">
        <v>0</v>
      </c>
      <c r="F15" s="32">
        <v>0</v>
      </c>
      <c r="G15" s="32">
        <v>0</v>
      </c>
      <c r="H15" s="32">
        <v>0</v>
      </c>
      <c r="I15" s="32">
        <v>0</v>
      </c>
      <c r="J15" s="32">
        <v>0</v>
      </c>
      <c r="K15" s="32">
        <v>0</v>
      </c>
      <c r="L15" s="32">
        <v>3</v>
      </c>
      <c r="M15" s="32">
        <v>2</v>
      </c>
      <c r="N15" s="32">
        <v>0</v>
      </c>
      <c r="O15" s="32">
        <v>2</v>
      </c>
      <c r="P15" s="32">
        <v>0</v>
      </c>
      <c r="Q15" s="32">
        <v>2</v>
      </c>
      <c r="R15" s="32">
        <v>2</v>
      </c>
      <c r="S15" s="32">
        <v>2</v>
      </c>
      <c r="T15" s="32">
        <v>2</v>
      </c>
      <c r="U15" s="32">
        <v>2</v>
      </c>
      <c r="V15" s="32">
        <v>2</v>
      </c>
      <c r="W15" s="32">
        <v>2</v>
      </c>
      <c r="X15" s="32">
        <v>3</v>
      </c>
      <c r="Y15" s="97">
        <f t="shared" si="1"/>
        <v>1.5625E-2</v>
      </c>
      <c r="Z15" s="93"/>
    </row>
    <row r="16" spans="1:26" x14ac:dyDescent="0.15">
      <c r="A16" s="93"/>
      <c r="B16" s="96" t="s">
        <v>550</v>
      </c>
      <c r="C16" s="32">
        <v>0</v>
      </c>
      <c r="D16" s="32">
        <v>0</v>
      </c>
      <c r="E16" s="32">
        <v>0</v>
      </c>
      <c r="F16" s="32">
        <v>0</v>
      </c>
      <c r="G16" s="32">
        <v>0</v>
      </c>
      <c r="H16" s="32">
        <v>0</v>
      </c>
      <c r="I16" s="32">
        <v>0</v>
      </c>
      <c r="J16" s="32">
        <v>0</v>
      </c>
      <c r="K16" s="32">
        <v>0</v>
      </c>
      <c r="L16" s="32">
        <v>3</v>
      </c>
      <c r="M16" s="32">
        <v>1</v>
      </c>
      <c r="N16" s="32">
        <v>0</v>
      </c>
      <c r="O16" s="32">
        <v>1</v>
      </c>
      <c r="P16" s="32">
        <v>1</v>
      </c>
      <c r="Q16" s="32">
        <v>0</v>
      </c>
      <c r="R16" s="32">
        <v>2</v>
      </c>
      <c r="S16" s="32">
        <v>1</v>
      </c>
      <c r="T16" s="32">
        <v>2</v>
      </c>
      <c r="U16" s="32">
        <v>0</v>
      </c>
      <c r="V16" s="32">
        <v>1</v>
      </c>
      <c r="W16" s="32">
        <v>0</v>
      </c>
      <c r="X16" s="32">
        <v>1</v>
      </c>
      <c r="Y16" s="97">
        <f t="shared" si="1"/>
        <v>1.5625E-2</v>
      </c>
      <c r="Z16" s="93"/>
    </row>
    <row r="17" spans="1:26" x14ac:dyDescent="0.15">
      <c r="A17" s="93"/>
      <c r="B17" s="96" t="s">
        <v>551</v>
      </c>
      <c r="C17" s="32">
        <v>0</v>
      </c>
      <c r="D17" s="32">
        <v>0</v>
      </c>
      <c r="E17" s="32">
        <v>0</v>
      </c>
      <c r="F17" s="32">
        <v>0</v>
      </c>
      <c r="G17" s="32">
        <v>0</v>
      </c>
      <c r="H17" s="32">
        <v>0</v>
      </c>
      <c r="I17" s="32">
        <v>0</v>
      </c>
      <c r="J17" s="32">
        <v>0</v>
      </c>
      <c r="K17" s="32">
        <v>0</v>
      </c>
      <c r="L17" s="32">
        <v>3</v>
      </c>
      <c r="M17" s="32">
        <v>3</v>
      </c>
      <c r="N17" s="32">
        <v>0</v>
      </c>
      <c r="O17" s="32">
        <v>3</v>
      </c>
      <c r="P17" s="32">
        <v>0</v>
      </c>
      <c r="Q17" s="32">
        <v>2</v>
      </c>
      <c r="R17" s="32">
        <v>2</v>
      </c>
      <c r="S17" s="32">
        <v>2</v>
      </c>
      <c r="T17" s="32">
        <v>1</v>
      </c>
      <c r="U17" s="32">
        <v>2</v>
      </c>
      <c r="V17" s="32">
        <v>1</v>
      </c>
      <c r="W17" s="32">
        <v>2</v>
      </c>
      <c r="X17" s="32">
        <v>1</v>
      </c>
      <c r="Y17" s="97">
        <v>0</v>
      </c>
      <c r="Z17" s="93"/>
    </row>
    <row r="18" spans="1:26" x14ac:dyDescent="0.15">
      <c r="A18" s="93"/>
      <c r="B18" s="96" t="s">
        <v>552</v>
      </c>
      <c r="C18" s="32">
        <v>0</v>
      </c>
      <c r="D18" s="32">
        <v>0</v>
      </c>
      <c r="E18" s="32">
        <v>0</v>
      </c>
      <c r="F18" s="32">
        <v>0</v>
      </c>
      <c r="G18" s="32">
        <v>0</v>
      </c>
      <c r="H18" s="32">
        <v>0</v>
      </c>
      <c r="I18" s="32">
        <v>0</v>
      </c>
      <c r="J18" s="32">
        <v>0</v>
      </c>
      <c r="K18" s="32">
        <v>0</v>
      </c>
      <c r="L18" s="32">
        <v>3</v>
      </c>
      <c r="M18" s="32">
        <v>2</v>
      </c>
      <c r="N18" s="32">
        <v>0</v>
      </c>
      <c r="O18" s="32">
        <v>2</v>
      </c>
      <c r="P18" s="32">
        <v>0</v>
      </c>
      <c r="Q18" s="32">
        <v>2</v>
      </c>
      <c r="R18" s="32">
        <v>2</v>
      </c>
      <c r="S18" s="32">
        <v>2</v>
      </c>
      <c r="T18" s="32">
        <v>2</v>
      </c>
      <c r="U18" s="32">
        <v>2</v>
      </c>
      <c r="V18" s="32">
        <v>2</v>
      </c>
      <c r="W18" s="32">
        <v>1</v>
      </c>
      <c r="X18" s="32">
        <v>1</v>
      </c>
      <c r="Y18" s="97">
        <v>0</v>
      </c>
      <c r="Z18" s="93"/>
    </row>
    <row r="19" spans="1:26" x14ac:dyDescent="0.15">
      <c r="A19" s="93"/>
      <c r="B19" s="96" t="s">
        <v>553</v>
      </c>
      <c r="C19" s="32">
        <v>0</v>
      </c>
      <c r="D19" s="32">
        <v>0</v>
      </c>
      <c r="E19" s="32">
        <v>1</v>
      </c>
      <c r="F19" s="32">
        <v>1</v>
      </c>
      <c r="G19" s="32">
        <v>0</v>
      </c>
      <c r="H19" s="32">
        <v>0</v>
      </c>
      <c r="I19" s="32">
        <v>2</v>
      </c>
      <c r="J19" s="32">
        <v>1</v>
      </c>
      <c r="K19" s="32">
        <v>0</v>
      </c>
      <c r="L19" s="32">
        <v>3</v>
      </c>
      <c r="M19" s="32">
        <v>2</v>
      </c>
      <c r="N19" s="32">
        <v>0</v>
      </c>
      <c r="O19" s="32">
        <v>2</v>
      </c>
      <c r="P19" s="32">
        <v>2</v>
      </c>
      <c r="Q19" s="32">
        <v>1</v>
      </c>
      <c r="R19" s="32">
        <v>2</v>
      </c>
      <c r="S19" s="32">
        <v>2</v>
      </c>
      <c r="T19" s="32">
        <v>1</v>
      </c>
      <c r="U19" s="32">
        <v>2</v>
      </c>
      <c r="V19" s="32">
        <v>1</v>
      </c>
      <c r="W19" s="32">
        <v>2</v>
      </c>
      <c r="X19" s="32">
        <v>1</v>
      </c>
      <c r="Y19" s="97">
        <v>0</v>
      </c>
      <c r="Z19" s="93"/>
    </row>
    <row r="20" spans="1:26" x14ac:dyDescent="0.15">
      <c r="A20" s="93"/>
      <c r="B20" s="96" t="s">
        <v>554</v>
      </c>
      <c r="C20" s="32">
        <v>0</v>
      </c>
      <c r="D20" s="32">
        <v>0</v>
      </c>
      <c r="E20" s="32">
        <v>0</v>
      </c>
      <c r="F20" s="32">
        <v>0</v>
      </c>
      <c r="G20" s="32">
        <v>0</v>
      </c>
      <c r="H20" s="32">
        <v>0</v>
      </c>
      <c r="I20" s="32">
        <v>0</v>
      </c>
      <c r="J20" s="32">
        <v>0</v>
      </c>
      <c r="K20" s="32">
        <v>0</v>
      </c>
      <c r="L20" s="32">
        <v>3</v>
      </c>
      <c r="M20" s="32">
        <v>2</v>
      </c>
      <c r="N20" s="32">
        <v>0</v>
      </c>
      <c r="O20" s="32">
        <v>0</v>
      </c>
      <c r="P20" s="32">
        <v>0</v>
      </c>
      <c r="Q20" s="32">
        <v>1</v>
      </c>
      <c r="R20" s="32">
        <v>2</v>
      </c>
      <c r="S20" s="32">
        <v>0</v>
      </c>
      <c r="T20" s="32">
        <v>0</v>
      </c>
      <c r="U20" s="32">
        <v>0</v>
      </c>
      <c r="V20" s="32">
        <v>0</v>
      </c>
      <c r="W20" s="32">
        <v>0</v>
      </c>
      <c r="X20" s="32">
        <v>1</v>
      </c>
      <c r="Y20" s="97">
        <f t="shared" si="1"/>
        <v>1.5625E-2</v>
      </c>
      <c r="Z20" s="93"/>
    </row>
    <row r="21" spans="1:26" x14ac:dyDescent="0.15">
      <c r="A21" s="93"/>
      <c r="B21" s="96" t="s">
        <v>555</v>
      </c>
      <c r="C21" s="32">
        <v>0</v>
      </c>
      <c r="D21" s="32">
        <v>0</v>
      </c>
      <c r="E21" s="32">
        <v>0</v>
      </c>
      <c r="F21" s="32">
        <v>0</v>
      </c>
      <c r="G21" s="32">
        <v>0</v>
      </c>
      <c r="H21" s="32">
        <v>0</v>
      </c>
      <c r="I21" s="32">
        <v>1</v>
      </c>
      <c r="J21" s="32">
        <v>0</v>
      </c>
      <c r="K21" s="32">
        <v>0</v>
      </c>
      <c r="L21" s="32">
        <v>3</v>
      </c>
      <c r="M21" s="32">
        <v>2</v>
      </c>
      <c r="N21" s="32">
        <v>0</v>
      </c>
      <c r="O21" s="32">
        <v>1</v>
      </c>
      <c r="P21" s="32">
        <v>2</v>
      </c>
      <c r="Q21" s="32">
        <v>2</v>
      </c>
      <c r="R21" s="32">
        <v>2</v>
      </c>
      <c r="S21" s="32">
        <v>2</v>
      </c>
      <c r="T21" s="32">
        <v>1</v>
      </c>
      <c r="U21" s="32">
        <v>2</v>
      </c>
      <c r="V21" s="32">
        <v>1</v>
      </c>
      <c r="W21" s="32">
        <v>2</v>
      </c>
      <c r="X21" s="32">
        <v>1</v>
      </c>
      <c r="Y21" s="97">
        <f t="shared" si="1"/>
        <v>1.5625E-2</v>
      </c>
      <c r="Z21" s="93"/>
    </row>
    <row r="22" spans="1:26" x14ac:dyDescent="0.15">
      <c r="A22" s="93"/>
      <c r="B22" s="96" t="s">
        <v>556</v>
      </c>
      <c r="C22" s="32">
        <v>1</v>
      </c>
      <c r="D22" s="32">
        <v>1</v>
      </c>
      <c r="E22" s="32">
        <v>2</v>
      </c>
      <c r="F22" s="32">
        <v>2</v>
      </c>
      <c r="G22" s="32">
        <v>2</v>
      </c>
      <c r="H22" s="32">
        <v>1</v>
      </c>
      <c r="I22" s="32">
        <v>0</v>
      </c>
      <c r="J22" s="32">
        <v>0</v>
      </c>
      <c r="K22" s="32">
        <v>1</v>
      </c>
      <c r="L22" s="32">
        <v>3</v>
      </c>
      <c r="M22" s="32">
        <v>2</v>
      </c>
      <c r="N22" s="32">
        <v>0</v>
      </c>
      <c r="O22" s="32">
        <v>3</v>
      </c>
      <c r="P22" s="32">
        <v>2</v>
      </c>
      <c r="Q22" s="32">
        <v>2</v>
      </c>
      <c r="R22" s="32">
        <v>2</v>
      </c>
      <c r="S22" s="32">
        <v>2</v>
      </c>
      <c r="T22" s="32">
        <v>2</v>
      </c>
      <c r="U22" s="32">
        <v>2</v>
      </c>
      <c r="V22" s="32">
        <v>2</v>
      </c>
      <c r="W22" s="32">
        <v>2</v>
      </c>
      <c r="X22" s="32">
        <v>1</v>
      </c>
      <c r="Y22" s="97">
        <f t="shared" si="1"/>
        <v>1.5625E-2</v>
      </c>
      <c r="Z22" s="93"/>
    </row>
    <row r="23" spans="1:26" x14ac:dyDescent="0.15">
      <c r="A23" s="93"/>
      <c r="B23" s="96" t="s">
        <v>557</v>
      </c>
      <c r="C23" s="32">
        <v>0</v>
      </c>
      <c r="D23" s="32">
        <v>0</v>
      </c>
      <c r="E23" s="32">
        <v>0</v>
      </c>
      <c r="F23" s="32">
        <v>1</v>
      </c>
      <c r="G23" s="32">
        <v>1</v>
      </c>
      <c r="H23" s="32">
        <v>0</v>
      </c>
      <c r="I23" s="32">
        <v>0</v>
      </c>
      <c r="J23" s="32">
        <v>0</v>
      </c>
      <c r="K23" s="32">
        <v>0</v>
      </c>
      <c r="L23" s="32">
        <v>3</v>
      </c>
      <c r="M23" s="32">
        <v>2</v>
      </c>
      <c r="N23" s="32">
        <v>0</v>
      </c>
      <c r="O23" s="32">
        <v>1</v>
      </c>
      <c r="P23" s="32">
        <v>0</v>
      </c>
      <c r="Q23" s="32">
        <v>2</v>
      </c>
      <c r="R23" s="32">
        <v>2</v>
      </c>
      <c r="S23" s="32">
        <v>2</v>
      </c>
      <c r="T23" s="32">
        <v>1</v>
      </c>
      <c r="U23" s="32">
        <v>2</v>
      </c>
      <c r="V23" s="32">
        <v>0</v>
      </c>
      <c r="W23" s="32">
        <v>2</v>
      </c>
      <c r="X23" s="32">
        <v>1</v>
      </c>
      <c r="Y23" s="97">
        <f t="shared" si="1"/>
        <v>1.5625E-2</v>
      </c>
      <c r="Z23" s="93"/>
    </row>
    <row r="24" spans="1:26" x14ac:dyDescent="0.15">
      <c r="A24" s="93"/>
      <c r="B24" s="96" t="s">
        <v>558</v>
      </c>
      <c r="C24" s="32">
        <v>0</v>
      </c>
      <c r="D24" s="32">
        <v>0</v>
      </c>
      <c r="E24" s="32">
        <v>0</v>
      </c>
      <c r="F24" s="32">
        <v>0</v>
      </c>
      <c r="G24" s="32">
        <v>1</v>
      </c>
      <c r="H24" s="32">
        <v>1</v>
      </c>
      <c r="I24" s="32">
        <v>1</v>
      </c>
      <c r="J24" s="32">
        <v>0</v>
      </c>
      <c r="K24" s="32">
        <v>0</v>
      </c>
      <c r="L24" s="32">
        <v>3</v>
      </c>
      <c r="M24" s="32">
        <v>2</v>
      </c>
      <c r="N24" s="32">
        <v>0</v>
      </c>
      <c r="O24" s="32">
        <v>2</v>
      </c>
      <c r="P24" s="32">
        <v>1</v>
      </c>
      <c r="Q24" s="32">
        <v>1</v>
      </c>
      <c r="R24" s="32">
        <v>0</v>
      </c>
      <c r="S24" s="32">
        <v>2</v>
      </c>
      <c r="T24" s="32">
        <v>2</v>
      </c>
      <c r="U24" s="32">
        <v>2</v>
      </c>
      <c r="V24" s="32">
        <v>1</v>
      </c>
      <c r="W24" s="32">
        <v>2</v>
      </c>
      <c r="X24" s="32">
        <v>1</v>
      </c>
      <c r="Y24" s="97">
        <f>1/16</f>
        <v>6.25E-2</v>
      </c>
      <c r="Z24" s="93"/>
    </row>
    <row r="25" spans="1:26" x14ac:dyDescent="0.15">
      <c r="A25" s="93"/>
      <c r="B25" s="96" t="s">
        <v>559</v>
      </c>
      <c r="C25" s="32">
        <v>0</v>
      </c>
      <c r="D25" s="32">
        <v>2</v>
      </c>
      <c r="E25" s="32">
        <v>1</v>
      </c>
      <c r="F25" s="32">
        <v>1</v>
      </c>
      <c r="G25" s="32">
        <v>0</v>
      </c>
      <c r="H25" s="32">
        <v>1</v>
      </c>
      <c r="I25" s="32">
        <v>1</v>
      </c>
      <c r="J25" s="32">
        <v>0</v>
      </c>
      <c r="K25" s="32">
        <v>0</v>
      </c>
      <c r="L25" s="32">
        <v>3</v>
      </c>
      <c r="M25" s="32">
        <v>2</v>
      </c>
      <c r="N25" s="32">
        <v>0</v>
      </c>
      <c r="O25" s="32">
        <v>2</v>
      </c>
      <c r="P25" s="32">
        <v>1</v>
      </c>
      <c r="Q25" s="32">
        <v>2</v>
      </c>
      <c r="R25" s="32">
        <v>2</v>
      </c>
      <c r="S25" s="32">
        <v>2</v>
      </c>
      <c r="T25" s="32">
        <v>2</v>
      </c>
      <c r="U25" s="32">
        <v>2</v>
      </c>
      <c r="V25" s="32">
        <v>2</v>
      </c>
      <c r="W25" s="32">
        <v>1</v>
      </c>
      <c r="X25" s="32">
        <v>0</v>
      </c>
      <c r="Y25" s="97">
        <v>0</v>
      </c>
      <c r="Z25" s="93"/>
    </row>
    <row r="26" spans="1:26" x14ac:dyDescent="0.15">
      <c r="A26" s="93"/>
      <c r="B26" s="96" t="s">
        <v>560</v>
      </c>
      <c r="C26" s="32">
        <v>1</v>
      </c>
      <c r="D26" s="32">
        <v>1</v>
      </c>
      <c r="E26" s="32">
        <v>1</v>
      </c>
      <c r="F26" s="32">
        <v>1</v>
      </c>
      <c r="G26" s="32">
        <v>1</v>
      </c>
      <c r="H26" s="32">
        <v>0</v>
      </c>
      <c r="I26" s="32">
        <v>0</v>
      </c>
      <c r="J26" s="32">
        <v>0</v>
      </c>
      <c r="K26" s="32">
        <v>0</v>
      </c>
      <c r="L26" s="32">
        <v>0</v>
      </c>
      <c r="M26" s="32">
        <v>2</v>
      </c>
      <c r="N26" s="32">
        <v>0</v>
      </c>
      <c r="O26" s="32">
        <v>2</v>
      </c>
      <c r="P26" s="32">
        <v>1</v>
      </c>
      <c r="Q26" s="32">
        <v>2</v>
      </c>
      <c r="R26" s="32">
        <v>2</v>
      </c>
      <c r="S26" s="32">
        <v>2</v>
      </c>
      <c r="T26" s="32">
        <v>2</v>
      </c>
      <c r="U26" s="32">
        <v>2</v>
      </c>
      <c r="V26" s="32">
        <v>1</v>
      </c>
      <c r="W26" s="32">
        <v>1</v>
      </c>
      <c r="X26" s="32">
        <v>1</v>
      </c>
      <c r="Y26" s="97">
        <f t="shared" si="1"/>
        <v>1.5625E-2</v>
      </c>
      <c r="Z26" s="93"/>
    </row>
    <row r="27" spans="1:26" x14ac:dyDescent="0.15">
      <c r="A27" s="93"/>
      <c r="B27" s="96" t="s">
        <v>561</v>
      </c>
      <c r="C27" s="32">
        <v>3</v>
      </c>
      <c r="D27" s="32">
        <v>3</v>
      </c>
      <c r="E27" s="32">
        <v>3</v>
      </c>
      <c r="F27" s="32">
        <v>3</v>
      </c>
      <c r="G27" s="32">
        <v>3</v>
      </c>
      <c r="H27" s="32">
        <v>3</v>
      </c>
      <c r="I27" s="32">
        <v>3</v>
      </c>
      <c r="J27" s="32">
        <v>3</v>
      </c>
      <c r="K27" s="32">
        <v>3</v>
      </c>
      <c r="L27" s="32">
        <v>3</v>
      </c>
      <c r="M27" s="32">
        <v>3</v>
      </c>
      <c r="N27" s="32">
        <v>0</v>
      </c>
      <c r="O27" s="32">
        <v>3</v>
      </c>
      <c r="P27" s="32">
        <v>3</v>
      </c>
      <c r="Q27" s="32">
        <v>3</v>
      </c>
      <c r="R27" s="32">
        <v>2</v>
      </c>
      <c r="S27" s="32">
        <v>2</v>
      </c>
      <c r="T27" s="32">
        <v>3</v>
      </c>
      <c r="U27" s="32">
        <v>3</v>
      </c>
      <c r="V27" s="32">
        <v>3</v>
      </c>
      <c r="W27" s="32">
        <v>2</v>
      </c>
      <c r="X27" s="32">
        <v>2</v>
      </c>
      <c r="Y27" s="97">
        <f t="shared" si="1"/>
        <v>1.5625E-2</v>
      </c>
      <c r="Z27" s="93"/>
    </row>
    <row r="28" spans="1:26" x14ac:dyDescent="0.15">
      <c r="A28" s="93"/>
      <c r="B28" s="96" t="s">
        <v>562</v>
      </c>
      <c r="C28" s="32">
        <v>0</v>
      </c>
      <c r="D28" s="32">
        <v>0</v>
      </c>
      <c r="E28" s="32">
        <v>0</v>
      </c>
      <c r="F28" s="32">
        <v>0</v>
      </c>
      <c r="G28" s="32">
        <v>0</v>
      </c>
      <c r="H28" s="32">
        <v>0</v>
      </c>
      <c r="I28" s="32">
        <v>0</v>
      </c>
      <c r="J28" s="32">
        <v>0</v>
      </c>
      <c r="K28" s="32">
        <v>0</v>
      </c>
      <c r="L28" s="32">
        <v>3</v>
      </c>
      <c r="M28" s="32">
        <v>2</v>
      </c>
      <c r="N28" s="32">
        <v>0</v>
      </c>
      <c r="O28" s="32">
        <v>3</v>
      </c>
      <c r="P28" s="32">
        <v>1</v>
      </c>
      <c r="Q28" s="32">
        <v>1</v>
      </c>
      <c r="R28" s="32">
        <v>2</v>
      </c>
      <c r="S28" s="32">
        <v>0</v>
      </c>
      <c r="T28" s="32">
        <v>0</v>
      </c>
      <c r="U28" s="32">
        <v>1</v>
      </c>
      <c r="V28" s="32">
        <v>0</v>
      </c>
      <c r="W28" s="32">
        <v>1</v>
      </c>
      <c r="X28" s="32">
        <v>0</v>
      </c>
      <c r="Y28" s="97">
        <v>0</v>
      </c>
      <c r="Z28" s="93"/>
    </row>
    <row r="29" spans="1:26" x14ac:dyDescent="0.15">
      <c r="A29" s="93"/>
      <c r="B29" s="96" t="s">
        <v>563</v>
      </c>
      <c r="C29" s="32">
        <v>2</v>
      </c>
      <c r="D29" s="32">
        <v>2</v>
      </c>
      <c r="E29" s="32">
        <v>1</v>
      </c>
      <c r="F29" s="32">
        <v>1</v>
      </c>
      <c r="G29" s="32">
        <v>1</v>
      </c>
      <c r="H29" s="32">
        <v>1</v>
      </c>
      <c r="I29" s="32">
        <v>3</v>
      </c>
      <c r="J29" s="32">
        <v>0</v>
      </c>
      <c r="K29" s="32">
        <v>0</v>
      </c>
      <c r="L29" s="32">
        <v>3</v>
      </c>
      <c r="M29" s="32">
        <v>2</v>
      </c>
      <c r="N29" s="32">
        <v>0</v>
      </c>
      <c r="O29" s="32">
        <v>3</v>
      </c>
      <c r="P29" s="32">
        <v>1</v>
      </c>
      <c r="Q29" s="32">
        <v>1</v>
      </c>
      <c r="R29" s="32">
        <v>2</v>
      </c>
      <c r="S29" s="32">
        <v>2</v>
      </c>
      <c r="T29" s="32">
        <v>2</v>
      </c>
      <c r="U29" s="32">
        <v>3</v>
      </c>
      <c r="V29" s="32">
        <v>2</v>
      </c>
      <c r="W29" s="32">
        <v>2</v>
      </c>
      <c r="X29" s="32">
        <v>1</v>
      </c>
      <c r="Y29" s="97">
        <v>0</v>
      </c>
      <c r="Z29" s="93"/>
    </row>
    <row r="30" spans="1:26" x14ac:dyDescent="0.15">
      <c r="A30" s="93"/>
      <c r="B30" s="96" t="s">
        <v>564</v>
      </c>
      <c r="C30" s="32">
        <v>1</v>
      </c>
      <c r="D30" s="32">
        <v>1</v>
      </c>
      <c r="E30" s="32">
        <v>1</v>
      </c>
      <c r="F30" s="32">
        <v>1</v>
      </c>
      <c r="G30" s="32">
        <v>2</v>
      </c>
      <c r="H30" s="32">
        <v>0</v>
      </c>
      <c r="I30" s="32">
        <v>2</v>
      </c>
      <c r="J30" s="32">
        <v>0</v>
      </c>
      <c r="K30" s="32">
        <v>1</v>
      </c>
      <c r="L30" s="32">
        <v>3</v>
      </c>
      <c r="M30" s="32">
        <v>3</v>
      </c>
      <c r="N30" s="32">
        <v>0</v>
      </c>
      <c r="O30" s="32">
        <v>2</v>
      </c>
      <c r="P30" s="32">
        <v>2</v>
      </c>
      <c r="Q30" s="32">
        <v>2</v>
      </c>
      <c r="R30" s="32">
        <v>2</v>
      </c>
      <c r="S30" s="32">
        <v>3</v>
      </c>
      <c r="T30" s="32">
        <v>3</v>
      </c>
      <c r="U30" s="32">
        <v>3</v>
      </c>
      <c r="V30" s="32">
        <v>2</v>
      </c>
      <c r="W30" s="32">
        <v>2</v>
      </c>
      <c r="X30" s="32">
        <v>1</v>
      </c>
      <c r="Y30" s="97">
        <v>0</v>
      </c>
      <c r="Z30" s="93"/>
    </row>
    <row r="31" spans="1:26" x14ac:dyDescent="0.15">
      <c r="A31" s="93"/>
      <c r="B31" s="21" t="s">
        <v>360</v>
      </c>
      <c r="C31" s="21" t="s">
        <v>220</v>
      </c>
      <c r="D31" s="21" t="s">
        <v>329</v>
      </c>
      <c r="E31" s="21" t="s">
        <v>327</v>
      </c>
      <c r="F31" s="21" t="s">
        <v>328</v>
      </c>
      <c r="G31" s="21" t="s">
        <v>326</v>
      </c>
      <c r="H31" s="21" t="s">
        <v>325</v>
      </c>
      <c r="I31" s="21" t="s">
        <v>324</v>
      </c>
      <c r="J31" s="21" t="s">
        <v>323</v>
      </c>
      <c r="K31" s="21" t="s">
        <v>322</v>
      </c>
      <c r="L31" s="21" t="s">
        <v>537</v>
      </c>
      <c r="M31" s="21" t="s">
        <v>538</v>
      </c>
      <c r="N31" s="21" t="s">
        <v>539</v>
      </c>
      <c r="O31" s="21" t="s">
        <v>540</v>
      </c>
      <c r="P31" s="21" t="s">
        <v>541</v>
      </c>
      <c r="Q31" s="21" t="s">
        <v>542</v>
      </c>
      <c r="R31" s="21" t="s">
        <v>321</v>
      </c>
      <c r="S31" s="21" t="s">
        <v>543</v>
      </c>
      <c r="T31" s="21" t="s">
        <v>544</v>
      </c>
      <c r="U31" s="21" t="s">
        <v>376</v>
      </c>
      <c r="V31" s="21" t="s">
        <v>320</v>
      </c>
      <c r="W31" s="21" t="s">
        <v>545</v>
      </c>
      <c r="X31" s="21" t="s">
        <v>546</v>
      </c>
      <c r="Y31" s="21" t="s">
        <v>566</v>
      </c>
      <c r="Z31" s="93"/>
    </row>
    <row r="32" spans="1:26"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sheetData>
  <mergeCells count="1">
    <mergeCell ref="B1:Y2"/>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3"/>
  <sheetViews>
    <sheetView workbookViewId="0">
      <selection activeCell="B1" sqref="B1:J2"/>
    </sheetView>
  </sheetViews>
  <sheetFormatPr defaultRowHeight="11.25" x14ac:dyDescent="0.15"/>
  <cols>
    <col min="1" max="1" width="2.625" style="1" customWidth="1"/>
    <col min="2" max="2" width="11.125" style="1" customWidth="1"/>
    <col min="3" max="7" width="5.625" style="1" customWidth="1"/>
    <col min="8" max="8" width="2.625" style="1" customWidth="1"/>
    <col min="9" max="10" width="5.625" style="1" customWidth="1"/>
    <col min="11" max="11" width="2.625" style="1" customWidth="1"/>
    <col min="12" max="16384" width="9" style="1"/>
  </cols>
  <sheetData>
    <row r="1" spans="1:11" ht="11.25" customHeight="1" x14ac:dyDescent="0.15">
      <c r="A1" s="3"/>
      <c r="B1" s="307" t="s">
        <v>399</v>
      </c>
      <c r="C1" s="308"/>
      <c r="D1" s="308"/>
      <c r="E1" s="308"/>
      <c r="F1" s="308"/>
      <c r="G1" s="308"/>
      <c r="H1" s="308"/>
      <c r="I1" s="308"/>
      <c r="J1" s="308"/>
      <c r="K1" s="3"/>
    </row>
    <row r="2" spans="1:11" ht="11.25" customHeight="1" x14ac:dyDescent="0.15">
      <c r="A2" s="3"/>
      <c r="B2" s="308"/>
      <c r="C2" s="308"/>
      <c r="D2" s="308"/>
      <c r="E2" s="308"/>
      <c r="F2" s="308"/>
      <c r="G2" s="308"/>
      <c r="H2" s="308"/>
      <c r="I2" s="308"/>
      <c r="J2" s="308"/>
      <c r="K2" s="3"/>
    </row>
    <row r="3" spans="1:11" x14ac:dyDescent="0.15">
      <c r="A3" s="3"/>
      <c r="B3" s="40" t="s">
        <v>258</v>
      </c>
      <c r="C3" s="40" t="s">
        <v>395</v>
      </c>
      <c r="D3" s="40" t="s">
        <v>396</v>
      </c>
      <c r="E3" s="40" t="s">
        <v>255</v>
      </c>
      <c r="F3" s="40" t="s">
        <v>256</v>
      </c>
      <c r="G3" s="40" t="s">
        <v>257</v>
      </c>
      <c r="H3" s="3"/>
      <c r="I3" s="22" t="s">
        <v>397</v>
      </c>
      <c r="J3" s="22" t="s">
        <v>398</v>
      </c>
      <c r="K3" s="3"/>
    </row>
    <row r="4" spans="1:11" x14ac:dyDescent="0.15">
      <c r="A4" s="3"/>
      <c r="B4" s="28" t="s">
        <v>259</v>
      </c>
      <c r="C4" s="43">
        <f>J11</f>
        <v>1</v>
      </c>
      <c r="D4" s="43">
        <f>J11</f>
        <v>1</v>
      </c>
      <c r="E4" s="43">
        <f>J11</f>
        <v>1</v>
      </c>
      <c r="F4" s="43">
        <f>J11</f>
        <v>1</v>
      </c>
      <c r="G4" s="44">
        <f>J11</f>
        <v>1</v>
      </c>
      <c r="H4" s="3"/>
      <c r="I4" s="41">
        <v>1</v>
      </c>
      <c r="J4" s="49">
        <f>256/128</f>
        <v>2</v>
      </c>
      <c r="K4" s="3"/>
    </row>
    <row r="5" spans="1:11" x14ac:dyDescent="0.15">
      <c r="A5" s="3"/>
      <c r="B5" s="28" t="s">
        <v>377</v>
      </c>
      <c r="C5" s="43">
        <f>J9</f>
        <v>1.09375</v>
      </c>
      <c r="D5" s="43">
        <f>J20</f>
        <v>0.3984375</v>
      </c>
      <c r="E5" s="43">
        <f>J9</f>
        <v>1.09375</v>
      </c>
      <c r="F5" s="43">
        <f>J11</f>
        <v>1</v>
      </c>
      <c r="G5" s="44">
        <f>J17</f>
        <v>0.6484375</v>
      </c>
      <c r="H5" s="3"/>
      <c r="I5" s="41">
        <v>0.5</v>
      </c>
      <c r="J5" s="49">
        <f>192/128</f>
        <v>1.5</v>
      </c>
      <c r="K5" s="3"/>
    </row>
    <row r="6" spans="1:11" x14ac:dyDescent="0.15">
      <c r="A6" s="3"/>
      <c r="B6" s="31" t="s">
        <v>378</v>
      </c>
      <c r="C6" s="45">
        <f>J11</f>
        <v>1</v>
      </c>
      <c r="D6" s="45">
        <f>J19</f>
        <v>0.5</v>
      </c>
      <c r="E6" s="43">
        <f>J11</f>
        <v>1</v>
      </c>
      <c r="F6" s="43">
        <f>J13</f>
        <v>0.8984375</v>
      </c>
      <c r="G6" s="46">
        <f>J8</f>
        <v>1.1484375</v>
      </c>
      <c r="H6" s="3"/>
      <c r="I6" s="41">
        <v>0.3</v>
      </c>
      <c r="J6" s="49">
        <f>166/128</f>
        <v>1.296875</v>
      </c>
      <c r="K6" s="3"/>
    </row>
    <row r="7" spans="1:11" x14ac:dyDescent="0.15">
      <c r="A7" s="3"/>
      <c r="B7" s="31" t="s">
        <v>379</v>
      </c>
      <c r="C7" s="45">
        <f>J18</f>
        <v>0.59375</v>
      </c>
      <c r="D7" s="45">
        <f>J9</f>
        <v>1.09375</v>
      </c>
      <c r="E7" s="45">
        <f>J18</f>
        <v>0.59375</v>
      </c>
      <c r="F7" s="45">
        <f>J18</f>
        <v>0.59375</v>
      </c>
      <c r="G7" s="46">
        <f>J12</f>
        <v>0.9453125</v>
      </c>
      <c r="H7" s="3"/>
      <c r="I7" s="41">
        <v>0.2</v>
      </c>
      <c r="J7" s="49">
        <f>153/128</f>
        <v>1.1953125</v>
      </c>
      <c r="K7" s="3"/>
    </row>
    <row r="8" spans="1:11" x14ac:dyDescent="0.15">
      <c r="A8" s="3"/>
      <c r="B8" s="31" t="s">
        <v>380</v>
      </c>
      <c r="C8" s="45">
        <f>J15</f>
        <v>0.796875</v>
      </c>
      <c r="D8" s="45">
        <f>J11</f>
        <v>1</v>
      </c>
      <c r="E8" s="45">
        <f>J15</f>
        <v>0.796875</v>
      </c>
      <c r="F8" s="45">
        <f>J16</f>
        <v>0.6953125</v>
      </c>
      <c r="G8" s="46">
        <f>J13</f>
        <v>0.8984375</v>
      </c>
      <c r="H8" s="3"/>
      <c r="I8" s="41">
        <v>0.15</v>
      </c>
      <c r="J8" s="49">
        <f>147/128</f>
        <v>1.1484375</v>
      </c>
      <c r="K8" s="3"/>
    </row>
    <row r="9" spans="1:11" x14ac:dyDescent="0.15">
      <c r="A9" s="3"/>
      <c r="B9" s="31" t="s">
        <v>381</v>
      </c>
      <c r="C9" s="45">
        <f>J16</f>
        <v>0.6953125</v>
      </c>
      <c r="D9" s="45">
        <f>J15</f>
        <v>0.796875</v>
      </c>
      <c r="E9" s="45">
        <f>J16</f>
        <v>0.6953125</v>
      </c>
      <c r="F9" s="45">
        <f>J18</f>
        <v>0.59375</v>
      </c>
      <c r="G9" s="46">
        <f>J6</f>
        <v>1.296875</v>
      </c>
      <c r="H9" s="3"/>
      <c r="I9" s="41">
        <v>0.1</v>
      </c>
      <c r="J9" s="49">
        <f>140/128</f>
        <v>1.09375</v>
      </c>
      <c r="K9" s="3"/>
    </row>
    <row r="10" spans="1:11" x14ac:dyDescent="0.15">
      <c r="A10" s="3"/>
      <c r="B10" s="31" t="s">
        <v>382</v>
      </c>
      <c r="C10" s="45">
        <f>J13</f>
        <v>0.8984375</v>
      </c>
      <c r="D10" s="45">
        <f>J18</f>
        <v>0.59375</v>
      </c>
      <c r="E10" s="45">
        <f>J13</f>
        <v>0.8984375</v>
      </c>
      <c r="F10" s="45">
        <f>J16</f>
        <v>0.6953125</v>
      </c>
      <c r="G10" s="46">
        <f>J7</f>
        <v>1.1953125</v>
      </c>
      <c r="H10" s="3"/>
      <c r="I10" s="41">
        <v>0.05</v>
      </c>
      <c r="J10" s="49">
        <f>134/128</f>
        <v>1.046875</v>
      </c>
      <c r="K10" s="3"/>
    </row>
    <row r="11" spans="1:11" x14ac:dyDescent="0.15">
      <c r="A11" s="3"/>
      <c r="B11" s="31" t="s">
        <v>383</v>
      </c>
      <c r="C11" s="45">
        <f>J15</f>
        <v>0.796875</v>
      </c>
      <c r="D11" s="45">
        <f>J16</f>
        <v>0.6953125</v>
      </c>
      <c r="E11" s="45">
        <f>J14</f>
        <v>0.84375</v>
      </c>
      <c r="F11" s="45">
        <f>J15</f>
        <v>0.796875</v>
      </c>
      <c r="G11" s="46">
        <f>J11</f>
        <v>1</v>
      </c>
      <c r="H11" s="3"/>
      <c r="I11" s="41">
        <v>0</v>
      </c>
      <c r="J11" s="49">
        <f>128/128</f>
        <v>1</v>
      </c>
      <c r="K11" s="3"/>
    </row>
    <row r="12" spans="1:11" x14ac:dyDescent="0.15">
      <c r="A12" s="3"/>
      <c r="B12" s="31" t="s">
        <v>385</v>
      </c>
      <c r="C12" s="45">
        <f>J11</f>
        <v>1</v>
      </c>
      <c r="D12" s="45">
        <f>J19</f>
        <v>0.5</v>
      </c>
      <c r="E12" s="45">
        <f>J12</f>
        <v>0.9453125</v>
      </c>
      <c r="F12" s="45">
        <f>J15</f>
        <v>0.796875</v>
      </c>
      <c r="G12" s="46">
        <f>J18</f>
        <v>0.59375</v>
      </c>
      <c r="H12" s="3"/>
      <c r="I12" s="41">
        <v>-0.05</v>
      </c>
      <c r="J12" s="49">
        <f>121/128</f>
        <v>0.9453125</v>
      </c>
      <c r="K12" s="3"/>
    </row>
    <row r="13" spans="1:11" x14ac:dyDescent="0.15">
      <c r="A13" s="3"/>
      <c r="B13" s="31" t="s">
        <v>384</v>
      </c>
      <c r="C13" s="45">
        <f>J16</f>
        <v>0.6953125</v>
      </c>
      <c r="D13" s="45">
        <f>J18</f>
        <v>0.59375</v>
      </c>
      <c r="E13" s="45">
        <f>J16</f>
        <v>0.6953125</v>
      </c>
      <c r="F13" s="45">
        <f>J18</f>
        <v>0.59375</v>
      </c>
      <c r="G13" s="46">
        <f>J16</f>
        <v>0.6953125</v>
      </c>
      <c r="H13" s="3"/>
      <c r="I13" s="41">
        <v>-0.1</v>
      </c>
      <c r="J13" s="49">
        <f>115/128</f>
        <v>0.8984375</v>
      </c>
      <c r="K13" s="3"/>
    </row>
    <row r="14" spans="1:11" x14ac:dyDescent="0.15">
      <c r="A14" s="3"/>
      <c r="B14" s="31" t="s">
        <v>386</v>
      </c>
      <c r="C14" s="45">
        <f>J7</f>
        <v>1.1953125</v>
      </c>
      <c r="D14" s="45">
        <f>J18</f>
        <v>0.59375</v>
      </c>
      <c r="E14" s="45">
        <f>J8</f>
        <v>1.1484375</v>
      </c>
      <c r="F14" s="45">
        <f>J9</f>
        <v>1.09375</v>
      </c>
      <c r="G14" s="46">
        <f>J9</f>
        <v>1.09375</v>
      </c>
      <c r="H14" s="3"/>
      <c r="I14" s="41">
        <v>-0.15</v>
      </c>
      <c r="J14" s="49">
        <f>108/128</f>
        <v>0.84375</v>
      </c>
      <c r="K14" s="3"/>
    </row>
    <row r="15" spans="1:11" x14ac:dyDescent="0.15">
      <c r="A15" s="3"/>
      <c r="B15" s="31" t="s">
        <v>387</v>
      </c>
      <c r="C15" s="45">
        <f>J13</f>
        <v>0.8984375</v>
      </c>
      <c r="D15" s="45">
        <f>J9</f>
        <v>1.09375</v>
      </c>
      <c r="E15" s="45">
        <f>J10</f>
        <v>1.046875</v>
      </c>
      <c r="F15" s="45">
        <f>J14</f>
        <v>0.84375</v>
      </c>
      <c r="G15" s="46">
        <f>J13</f>
        <v>0.8984375</v>
      </c>
      <c r="H15" s="3"/>
      <c r="I15" s="41">
        <v>-0.2</v>
      </c>
      <c r="J15" s="49">
        <f>102/128</f>
        <v>0.796875</v>
      </c>
      <c r="K15" s="3"/>
    </row>
    <row r="16" spans="1:11" x14ac:dyDescent="0.15">
      <c r="A16" s="3"/>
      <c r="B16" s="31" t="s">
        <v>388</v>
      </c>
      <c r="C16" s="45">
        <f>J11</f>
        <v>1</v>
      </c>
      <c r="D16" s="45">
        <f>J11</f>
        <v>1</v>
      </c>
      <c r="E16" s="45">
        <f>J9</f>
        <v>1.09375</v>
      </c>
      <c r="F16" s="45">
        <f>J11</f>
        <v>1</v>
      </c>
      <c r="G16" s="46">
        <f>J8</f>
        <v>1.1484375</v>
      </c>
      <c r="H16" s="3"/>
      <c r="I16" s="41">
        <v>-0.3</v>
      </c>
      <c r="J16" s="49">
        <f>89/128</f>
        <v>0.6953125</v>
      </c>
      <c r="K16" s="3"/>
    </row>
    <row r="17" spans="1:11" x14ac:dyDescent="0.15">
      <c r="A17" s="3"/>
      <c r="B17" s="31" t="s">
        <v>389</v>
      </c>
      <c r="C17" s="45">
        <f>J15</f>
        <v>0.796875</v>
      </c>
      <c r="D17" s="45">
        <f>J7</f>
        <v>1.1953125</v>
      </c>
      <c r="E17" s="45">
        <f>J16</f>
        <v>0.6953125</v>
      </c>
      <c r="F17" s="45">
        <f>J15</f>
        <v>0.796875</v>
      </c>
      <c r="G17" s="46">
        <f>J10</f>
        <v>1.046875</v>
      </c>
      <c r="H17" s="3"/>
      <c r="I17" s="41">
        <v>-0.35</v>
      </c>
      <c r="J17" s="49">
        <f>83/128</f>
        <v>0.6484375</v>
      </c>
      <c r="K17" s="3"/>
    </row>
    <row r="18" spans="1:11" x14ac:dyDescent="0.15">
      <c r="A18" s="3"/>
      <c r="B18" s="31" t="s">
        <v>390</v>
      </c>
      <c r="C18" s="45">
        <f>J13</f>
        <v>0.8984375</v>
      </c>
      <c r="D18" s="45">
        <f>J16</f>
        <v>0.6953125</v>
      </c>
      <c r="E18" s="45">
        <f>J13</f>
        <v>0.8984375</v>
      </c>
      <c r="F18" s="45">
        <f>J15</f>
        <v>0.796875</v>
      </c>
      <c r="G18" s="46">
        <f>J7</f>
        <v>1.1953125</v>
      </c>
      <c r="H18" s="3"/>
      <c r="I18" s="41">
        <v>-0.4</v>
      </c>
      <c r="J18" s="49">
        <f>76/128</f>
        <v>0.59375</v>
      </c>
      <c r="K18" s="3"/>
    </row>
    <row r="19" spans="1:11" x14ac:dyDescent="0.15">
      <c r="A19" s="3"/>
      <c r="B19" s="31" t="s">
        <v>391</v>
      </c>
      <c r="C19" s="45">
        <f>J15</f>
        <v>0.796875</v>
      </c>
      <c r="D19" s="45">
        <f>J13</f>
        <v>0.8984375</v>
      </c>
      <c r="E19" s="45">
        <f>J15</f>
        <v>0.796875</v>
      </c>
      <c r="F19" s="45">
        <f>J13</f>
        <v>0.8984375</v>
      </c>
      <c r="G19" s="46">
        <f>J13</f>
        <v>0.8984375</v>
      </c>
      <c r="H19" s="3"/>
      <c r="I19" s="41">
        <v>-0.5</v>
      </c>
      <c r="J19" s="49">
        <f>64/128</f>
        <v>0.5</v>
      </c>
      <c r="K19" s="3"/>
    </row>
    <row r="20" spans="1:11" x14ac:dyDescent="0.15">
      <c r="A20" s="3"/>
      <c r="B20" s="31" t="s">
        <v>392</v>
      </c>
      <c r="C20" s="45">
        <f>J9</f>
        <v>1.09375</v>
      </c>
      <c r="D20" s="45">
        <f>J9</f>
        <v>1.09375</v>
      </c>
      <c r="E20" s="45">
        <f>J9</f>
        <v>1.09375</v>
      </c>
      <c r="F20" s="45">
        <f>J11</f>
        <v>1</v>
      </c>
      <c r="G20" s="46">
        <f>J11</f>
        <v>1</v>
      </c>
      <c r="H20" s="3"/>
      <c r="I20" s="41">
        <v>-0.6</v>
      </c>
      <c r="J20" s="49">
        <f>51/128</f>
        <v>0.3984375</v>
      </c>
      <c r="K20" s="3"/>
    </row>
    <row r="21" spans="1:11" x14ac:dyDescent="0.15">
      <c r="A21" s="3"/>
      <c r="B21" s="31" t="s">
        <v>393</v>
      </c>
      <c r="C21" s="45">
        <f>J6</f>
        <v>1.296875</v>
      </c>
      <c r="D21" s="45">
        <f>J15</f>
        <v>0.796875</v>
      </c>
      <c r="E21" s="45">
        <f>J7</f>
        <v>1.1953125</v>
      </c>
      <c r="F21" s="45">
        <f>J7</f>
        <v>1.1953125</v>
      </c>
      <c r="G21" s="46">
        <f>J15</f>
        <v>0.796875</v>
      </c>
      <c r="H21" s="3"/>
      <c r="I21" s="42">
        <v>-0.8</v>
      </c>
      <c r="J21" s="50">
        <f>25/128</f>
        <v>0.1953125</v>
      </c>
      <c r="K21" s="3"/>
    </row>
    <row r="22" spans="1:11" x14ac:dyDescent="0.15">
      <c r="A22" s="3"/>
      <c r="B22" s="35" t="s">
        <v>394</v>
      </c>
      <c r="C22" s="47">
        <f>J21</f>
        <v>0.1953125</v>
      </c>
      <c r="D22" s="47">
        <f>J16</f>
        <v>0.6953125</v>
      </c>
      <c r="E22" s="47">
        <f>J18</f>
        <v>0.59375</v>
      </c>
      <c r="F22" s="47">
        <f>J4</f>
        <v>2</v>
      </c>
      <c r="G22" s="48">
        <f>J4</f>
        <v>2</v>
      </c>
      <c r="H22" s="3"/>
      <c r="I22" s="42">
        <v>-1</v>
      </c>
      <c r="J22" s="50">
        <f>0/128</f>
        <v>0</v>
      </c>
      <c r="K22" s="3"/>
    </row>
    <row r="23" spans="1:11" x14ac:dyDescent="0.15">
      <c r="A23" s="3"/>
      <c r="B23" s="3"/>
      <c r="C23" s="3"/>
      <c r="D23" s="3"/>
      <c r="E23" s="3"/>
      <c r="F23" s="3"/>
      <c r="G23" s="3"/>
      <c r="H23" s="3"/>
      <c r="I23" s="3"/>
      <c r="J23" s="3"/>
      <c r="K23" s="3"/>
    </row>
  </sheetData>
  <mergeCells count="1">
    <mergeCell ref="B1:J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T322"/>
  <sheetViews>
    <sheetView zoomScaleNormal="100" workbookViewId="0">
      <pane ySplit="2" topLeftCell="A3" activePane="bottomLeft" state="frozen"/>
      <selection pane="bottomLeft"/>
    </sheetView>
  </sheetViews>
  <sheetFormatPr defaultRowHeight="11.25" x14ac:dyDescent="0.15"/>
  <cols>
    <col min="1" max="1" width="1.625" style="38" customWidth="1"/>
    <col min="2" max="2" width="2.625" style="38" customWidth="1"/>
    <col min="3" max="3" width="13.125" style="38" customWidth="1"/>
    <col min="4" max="4" width="12.125" style="38" customWidth="1"/>
    <col min="5" max="5" width="6.625" style="38" customWidth="1"/>
    <col min="6" max="6" width="3.125" style="38" customWidth="1"/>
    <col min="7" max="13" width="12.125" style="38" customWidth="1"/>
    <col min="14" max="18" width="2.625" style="38" customWidth="1"/>
    <col min="19" max="19" width="10.625" style="38" customWidth="1"/>
    <col min="20" max="20" width="1.625" style="38" customWidth="1"/>
    <col min="21" max="16384" width="9" style="38"/>
  </cols>
  <sheetData>
    <row r="1" spans="1:20" x14ac:dyDescent="0.15">
      <c r="A1" s="39"/>
      <c r="B1" s="39"/>
      <c r="C1" s="39"/>
      <c r="D1" s="39"/>
      <c r="E1" s="39"/>
      <c r="F1" s="39"/>
      <c r="G1" s="39"/>
      <c r="H1" s="39"/>
      <c r="I1" s="39"/>
      <c r="J1" s="39"/>
      <c r="K1" s="39"/>
      <c r="L1" s="39"/>
      <c r="M1" s="39"/>
      <c r="N1" s="39"/>
      <c r="O1" s="39"/>
      <c r="P1" s="39"/>
      <c r="Q1" s="39"/>
      <c r="R1" s="39"/>
      <c r="S1" s="39"/>
      <c r="T1" s="39"/>
    </row>
    <row r="2" spans="1:20" x14ac:dyDescent="0.15">
      <c r="A2" s="39"/>
      <c r="B2" s="51" t="s">
        <v>410</v>
      </c>
      <c r="C2" s="51" t="s">
        <v>250</v>
      </c>
      <c r="D2" s="51" t="s">
        <v>251</v>
      </c>
      <c r="E2" s="51" t="s">
        <v>360</v>
      </c>
      <c r="F2" s="51" t="s">
        <v>252</v>
      </c>
      <c r="G2" s="52" t="s">
        <v>0</v>
      </c>
      <c r="H2" s="52" t="s">
        <v>167</v>
      </c>
      <c r="I2" s="52" t="s">
        <v>166</v>
      </c>
      <c r="J2" s="52" t="s">
        <v>168</v>
      </c>
      <c r="K2" s="52" t="s">
        <v>361</v>
      </c>
      <c r="L2" s="52" t="s">
        <v>362</v>
      </c>
      <c r="M2" s="52" t="s">
        <v>363</v>
      </c>
      <c r="N2" s="53" t="s">
        <v>253</v>
      </c>
      <c r="O2" s="53" t="s">
        <v>254</v>
      </c>
      <c r="P2" s="53" t="s">
        <v>255</v>
      </c>
      <c r="Q2" s="53" t="s">
        <v>256</v>
      </c>
      <c r="R2" s="53" t="s">
        <v>257</v>
      </c>
      <c r="S2" s="54" t="s">
        <v>258</v>
      </c>
      <c r="T2" s="39"/>
    </row>
    <row r="3" spans="1:20" x14ac:dyDescent="0.15">
      <c r="A3" s="39"/>
      <c r="B3" s="246">
        <v>1</v>
      </c>
      <c r="C3" s="247" t="s">
        <v>407</v>
      </c>
      <c r="D3" s="55" t="s">
        <v>782</v>
      </c>
      <c r="E3" s="55" t="s">
        <v>182</v>
      </c>
      <c r="F3" s="55">
        <v>1</v>
      </c>
      <c r="G3" s="55" t="s">
        <v>11</v>
      </c>
      <c r="H3" s="55" t="s">
        <v>90</v>
      </c>
      <c r="I3" s="55" t="s">
        <v>81</v>
      </c>
      <c r="J3" s="55" t="s">
        <v>133</v>
      </c>
      <c r="K3" s="55" t="s">
        <v>466</v>
      </c>
      <c r="L3" s="55" t="s">
        <v>466</v>
      </c>
      <c r="M3" s="55" t="s">
        <v>466</v>
      </c>
      <c r="N3" s="55">
        <v>1</v>
      </c>
      <c r="O3" s="55">
        <v>0</v>
      </c>
      <c r="P3" s="55">
        <v>0</v>
      </c>
      <c r="Q3" s="55">
        <v>1</v>
      </c>
      <c r="R3" s="55">
        <v>1</v>
      </c>
      <c r="S3" s="56" t="s">
        <v>259</v>
      </c>
      <c r="T3" s="39"/>
    </row>
    <row r="4" spans="1:20" x14ac:dyDescent="0.15">
      <c r="A4" s="39"/>
      <c r="B4" s="244"/>
      <c r="C4" s="248"/>
      <c r="D4" s="55" t="s">
        <v>783</v>
      </c>
      <c r="E4" s="55" t="s">
        <v>182</v>
      </c>
      <c r="F4" s="55">
        <v>2</v>
      </c>
      <c r="G4" s="55" t="s">
        <v>11</v>
      </c>
      <c r="H4" s="55" t="s">
        <v>90</v>
      </c>
      <c r="I4" s="55" t="s">
        <v>81</v>
      </c>
      <c r="J4" s="55" t="s">
        <v>133</v>
      </c>
      <c r="K4" s="55" t="s">
        <v>466</v>
      </c>
      <c r="L4" s="55" t="s">
        <v>466</v>
      </c>
      <c r="M4" s="55" t="s">
        <v>466</v>
      </c>
      <c r="N4" s="55">
        <v>1</v>
      </c>
      <c r="O4" s="55">
        <v>0</v>
      </c>
      <c r="P4" s="55">
        <v>0</v>
      </c>
      <c r="Q4" s="55">
        <v>1</v>
      </c>
      <c r="R4" s="55">
        <v>1</v>
      </c>
      <c r="S4" s="56" t="s">
        <v>259</v>
      </c>
      <c r="T4" s="39"/>
    </row>
    <row r="5" spans="1:20" x14ac:dyDescent="0.15">
      <c r="A5" s="39"/>
      <c r="B5" s="244"/>
      <c r="C5" s="248"/>
      <c r="D5" s="55" t="s">
        <v>784</v>
      </c>
      <c r="E5" s="55"/>
      <c r="F5" s="55"/>
      <c r="G5" s="55"/>
      <c r="H5" s="55"/>
      <c r="I5" s="55"/>
      <c r="J5" s="55"/>
      <c r="K5" s="55"/>
      <c r="L5" s="55"/>
      <c r="M5" s="55"/>
      <c r="N5" s="55"/>
      <c r="O5" s="55"/>
      <c r="P5" s="55"/>
      <c r="Q5" s="55"/>
      <c r="R5" s="55"/>
      <c r="S5" s="56"/>
      <c r="T5" s="39"/>
    </row>
    <row r="6" spans="1:20" x14ac:dyDescent="0.15">
      <c r="A6" s="39"/>
      <c r="B6" s="244"/>
      <c r="C6" s="248"/>
      <c r="D6" s="55" t="s">
        <v>785</v>
      </c>
      <c r="E6" s="55"/>
      <c r="F6" s="55"/>
      <c r="G6" s="55"/>
      <c r="H6" s="55"/>
      <c r="I6" s="55"/>
      <c r="J6" s="55"/>
      <c r="K6" s="55"/>
      <c r="L6" s="55"/>
      <c r="M6" s="55"/>
      <c r="N6" s="55"/>
      <c r="O6" s="55"/>
      <c r="P6" s="55"/>
      <c r="Q6" s="55"/>
      <c r="R6" s="55"/>
      <c r="S6" s="56"/>
      <c r="T6" s="39"/>
    </row>
    <row r="7" spans="1:20" x14ac:dyDescent="0.15">
      <c r="A7" s="39"/>
      <c r="B7" s="244"/>
      <c r="C7" s="248"/>
      <c r="D7" s="55" t="s">
        <v>786</v>
      </c>
      <c r="E7" s="55"/>
      <c r="F7" s="55"/>
      <c r="G7" s="55"/>
      <c r="H7" s="55"/>
      <c r="I7" s="55"/>
      <c r="J7" s="55"/>
      <c r="K7" s="55"/>
      <c r="L7" s="55"/>
      <c r="M7" s="55"/>
      <c r="N7" s="55"/>
      <c r="O7" s="55"/>
      <c r="P7" s="55"/>
      <c r="Q7" s="55"/>
      <c r="R7" s="55"/>
      <c r="S7" s="56"/>
      <c r="T7" s="39"/>
    </row>
    <row r="8" spans="1:20" x14ac:dyDescent="0.15">
      <c r="A8" s="39"/>
      <c r="B8" s="244"/>
      <c r="C8" s="248"/>
      <c r="D8" s="55" t="s">
        <v>401</v>
      </c>
      <c r="E8" s="55"/>
      <c r="F8" s="55"/>
      <c r="G8" s="55"/>
      <c r="H8" s="55"/>
      <c r="I8" s="55"/>
      <c r="J8" s="55"/>
      <c r="K8" s="55"/>
      <c r="L8" s="55"/>
      <c r="M8" s="55"/>
      <c r="N8" s="55"/>
      <c r="O8" s="55"/>
      <c r="P8" s="55"/>
      <c r="Q8" s="55"/>
      <c r="R8" s="55"/>
      <c r="S8" s="56"/>
      <c r="T8" s="39"/>
    </row>
    <row r="9" spans="1:20" x14ac:dyDescent="0.15">
      <c r="A9" s="39"/>
      <c r="B9" s="244"/>
      <c r="C9" s="248"/>
      <c r="D9" s="55" t="s">
        <v>354</v>
      </c>
      <c r="E9" s="55"/>
      <c r="F9" s="55"/>
      <c r="G9" s="55"/>
      <c r="H9" s="55"/>
      <c r="I9" s="55"/>
      <c r="J9" s="55"/>
      <c r="K9" s="55"/>
      <c r="L9" s="55"/>
      <c r="M9" s="55"/>
      <c r="N9" s="55"/>
      <c r="O9" s="55"/>
      <c r="P9" s="55"/>
      <c r="Q9" s="55"/>
      <c r="R9" s="55"/>
      <c r="S9" s="56"/>
      <c r="T9" s="39"/>
    </row>
    <row r="10" spans="1:20" x14ac:dyDescent="0.15">
      <c r="A10" s="39"/>
      <c r="B10" s="245"/>
      <c r="C10" s="249"/>
      <c r="D10" s="57" t="s">
        <v>404</v>
      </c>
      <c r="E10" s="57"/>
      <c r="F10" s="57"/>
      <c r="G10" s="57"/>
      <c r="H10" s="57"/>
      <c r="I10" s="57"/>
      <c r="J10" s="57"/>
      <c r="K10" s="61"/>
      <c r="L10" s="61"/>
      <c r="M10" s="61"/>
      <c r="N10" s="57"/>
      <c r="O10" s="57"/>
      <c r="P10" s="57"/>
      <c r="Q10" s="57"/>
      <c r="R10" s="57"/>
      <c r="S10" s="58"/>
      <c r="T10" s="39"/>
    </row>
    <row r="11" spans="1:20" x14ac:dyDescent="0.15">
      <c r="A11" s="39"/>
      <c r="B11" s="246">
        <v>2</v>
      </c>
      <c r="C11" s="250" t="s">
        <v>408</v>
      </c>
      <c r="D11" s="59" t="s">
        <v>406</v>
      </c>
      <c r="E11" s="59" t="s">
        <v>182</v>
      </c>
      <c r="F11" s="59">
        <v>3</v>
      </c>
      <c r="G11" s="59" t="s">
        <v>11</v>
      </c>
      <c r="H11" s="59" t="s">
        <v>90</v>
      </c>
      <c r="I11" s="59" t="s">
        <v>67</v>
      </c>
      <c r="J11" s="59" t="s">
        <v>133</v>
      </c>
      <c r="K11" s="85" t="s">
        <v>466</v>
      </c>
      <c r="L11" s="85" t="s">
        <v>466</v>
      </c>
      <c r="M11" s="85" t="s">
        <v>466</v>
      </c>
      <c r="N11" s="59">
        <v>1</v>
      </c>
      <c r="O11" s="59">
        <v>0</v>
      </c>
      <c r="P11" s="59">
        <v>0</v>
      </c>
      <c r="Q11" s="59">
        <v>1</v>
      </c>
      <c r="R11" s="59">
        <v>2</v>
      </c>
      <c r="S11" s="60" t="s">
        <v>259</v>
      </c>
      <c r="T11" s="39"/>
    </row>
    <row r="12" spans="1:20" x14ac:dyDescent="0.15">
      <c r="A12" s="39"/>
      <c r="B12" s="244"/>
      <c r="C12" s="248"/>
      <c r="D12" s="55" t="s">
        <v>777</v>
      </c>
      <c r="E12" s="55"/>
      <c r="F12" s="55"/>
      <c r="G12" s="55"/>
      <c r="H12" s="55"/>
      <c r="I12" s="55"/>
      <c r="J12" s="55"/>
      <c r="K12" s="55"/>
      <c r="L12" s="55"/>
      <c r="M12" s="55"/>
      <c r="N12" s="55"/>
      <c r="O12" s="55"/>
      <c r="P12" s="55"/>
      <c r="Q12" s="55"/>
      <c r="R12" s="55"/>
      <c r="S12" s="56"/>
      <c r="T12" s="39"/>
    </row>
    <row r="13" spans="1:20" x14ac:dyDescent="0.15">
      <c r="A13" s="39"/>
      <c r="B13" s="244"/>
      <c r="C13" s="248"/>
      <c r="D13" s="55"/>
      <c r="E13" s="55"/>
      <c r="F13" s="55"/>
      <c r="G13" s="55"/>
      <c r="H13" s="55"/>
      <c r="I13" s="55"/>
      <c r="J13" s="55"/>
      <c r="K13" s="55"/>
      <c r="L13" s="55"/>
      <c r="M13" s="55"/>
      <c r="N13" s="55"/>
      <c r="O13" s="55"/>
      <c r="P13" s="55"/>
      <c r="Q13" s="55"/>
      <c r="R13" s="55"/>
      <c r="S13" s="56"/>
      <c r="T13" s="39"/>
    </row>
    <row r="14" spans="1:20" x14ac:dyDescent="0.15">
      <c r="A14" s="39"/>
      <c r="B14" s="244"/>
      <c r="C14" s="248"/>
      <c r="D14" s="55"/>
      <c r="E14" s="55"/>
      <c r="F14" s="55"/>
      <c r="G14" s="55"/>
      <c r="H14" s="55"/>
      <c r="I14" s="55"/>
      <c r="J14" s="55"/>
      <c r="K14" s="55"/>
      <c r="L14" s="55"/>
      <c r="M14" s="55"/>
      <c r="N14" s="55"/>
      <c r="O14" s="55"/>
      <c r="P14" s="55"/>
      <c r="Q14" s="55"/>
      <c r="R14" s="55"/>
      <c r="S14" s="56"/>
      <c r="T14" s="39"/>
    </row>
    <row r="15" spans="1:20" x14ac:dyDescent="0.15">
      <c r="A15" s="39"/>
      <c r="B15" s="244"/>
      <c r="C15" s="248"/>
      <c r="D15" s="55"/>
      <c r="E15" s="55"/>
      <c r="F15" s="55"/>
      <c r="G15" s="55"/>
      <c r="H15" s="55"/>
      <c r="I15" s="55"/>
      <c r="J15" s="55"/>
      <c r="K15" s="55"/>
      <c r="L15" s="55"/>
      <c r="M15" s="55"/>
      <c r="N15" s="55"/>
      <c r="O15" s="55"/>
      <c r="P15" s="55"/>
      <c r="Q15" s="55"/>
      <c r="R15" s="55"/>
      <c r="S15" s="56"/>
      <c r="T15" s="39"/>
    </row>
    <row r="16" spans="1:20" x14ac:dyDescent="0.15">
      <c r="A16" s="39"/>
      <c r="B16" s="244"/>
      <c r="C16" s="248"/>
      <c r="D16" s="55"/>
      <c r="E16" s="55"/>
      <c r="F16" s="55"/>
      <c r="G16" s="55"/>
      <c r="H16" s="55"/>
      <c r="I16" s="55"/>
      <c r="J16" s="55"/>
      <c r="K16" s="55"/>
      <c r="L16" s="55"/>
      <c r="M16" s="55"/>
      <c r="N16" s="55"/>
      <c r="O16" s="55"/>
      <c r="P16" s="55"/>
      <c r="Q16" s="55"/>
      <c r="R16" s="55"/>
      <c r="S16" s="56"/>
      <c r="T16" s="39"/>
    </row>
    <row r="17" spans="1:20" x14ac:dyDescent="0.15">
      <c r="A17" s="39"/>
      <c r="B17" s="244"/>
      <c r="C17" s="248"/>
      <c r="D17" s="55"/>
      <c r="E17" s="55"/>
      <c r="F17" s="55"/>
      <c r="G17" s="55"/>
      <c r="H17" s="55"/>
      <c r="I17" s="55"/>
      <c r="J17" s="55"/>
      <c r="K17" s="55"/>
      <c r="L17" s="55"/>
      <c r="M17" s="55"/>
      <c r="N17" s="55"/>
      <c r="O17" s="55"/>
      <c r="P17" s="55"/>
      <c r="Q17" s="55"/>
      <c r="R17" s="55"/>
      <c r="S17" s="56"/>
      <c r="T17" s="39"/>
    </row>
    <row r="18" spans="1:20" x14ac:dyDescent="0.15">
      <c r="A18" s="39"/>
      <c r="B18" s="245"/>
      <c r="C18" s="249"/>
      <c r="D18" s="61"/>
      <c r="E18" s="61"/>
      <c r="F18" s="61"/>
      <c r="G18" s="61"/>
      <c r="H18" s="61"/>
      <c r="I18" s="61"/>
      <c r="J18" s="61"/>
      <c r="K18" s="61"/>
      <c r="L18" s="61"/>
      <c r="M18" s="61"/>
      <c r="N18" s="61"/>
      <c r="O18" s="61"/>
      <c r="P18" s="61"/>
      <c r="Q18" s="61"/>
      <c r="R18" s="61"/>
      <c r="S18" s="62"/>
      <c r="T18" s="39"/>
    </row>
    <row r="19" spans="1:20" x14ac:dyDescent="0.15">
      <c r="A19" s="39"/>
      <c r="B19" s="246">
        <v>3</v>
      </c>
      <c r="C19" s="243" t="s">
        <v>409</v>
      </c>
      <c r="D19" s="59" t="s">
        <v>265</v>
      </c>
      <c r="E19" s="59" t="s">
        <v>182</v>
      </c>
      <c r="F19" s="59">
        <v>5</v>
      </c>
      <c r="G19" s="59" t="s">
        <v>11</v>
      </c>
      <c r="H19" s="59" t="s">
        <v>90</v>
      </c>
      <c r="I19" s="59" t="s">
        <v>67</v>
      </c>
      <c r="J19" s="59" t="s">
        <v>133</v>
      </c>
      <c r="K19" s="59" t="s">
        <v>867</v>
      </c>
      <c r="L19" s="59" t="s">
        <v>867</v>
      </c>
      <c r="M19" s="59" t="s">
        <v>868</v>
      </c>
      <c r="N19" s="59">
        <v>1</v>
      </c>
      <c r="O19" s="59">
        <v>0</v>
      </c>
      <c r="P19" s="59">
        <v>0</v>
      </c>
      <c r="Q19" s="59">
        <v>1</v>
      </c>
      <c r="R19" s="59">
        <v>2</v>
      </c>
      <c r="S19" s="60" t="s">
        <v>259</v>
      </c>
      <c r="T19" s="39"/>
    </row>
    <row r="20" spans="1:20" x14ac:dyDescent="0.15">
      <c r="A20" s="39"/>
      <c r="B20" s="244"/>
      <c r="C20" s="244"/>
      <c r="D20" s="55" t="s">
        <v>778</v>
      </c>
      <c r="E20" s="55" t="s">
        <v>789</v>
      </c>
      <c r="F20" s="55">
        <v>5</v>
      </c>
      <c r="G20" s="55" t="s">
        <v>864</v>
      </c>
      <c r="H20" s="55" t="s">
        <v>877</v>
      </c>
      <c r="I20" s="55" t="s">
        <v>865</v>
      </c>
      <c r="J20" s="55" t="s">
        <v>866</v>
      </c>
      <c r="K20" s="55" t="s">
        <v>868</v>
      </c>
      <c r="L20" s="55" t="s">
        <v>868</v>
      </c>
      <c r="M20" s="55" t="s">
        <v>868</v>
      </c>
      <c r="N20" s="55">
        <v>0</v>
      </c>
      <c r="O20" s="55">
        <v>0</v>
      </c>
      <c r="P20" s="55">
        <v>0</v>
      </c>
      <c r="Q20" s="55">
        <v>0</v>
      </c>
      <c r="R20" s="55">
        <v>0</v>
      </c>
      <c r="S20" s="56" t="s">
        <v>869</v>
      </c>
      <c r="T20" s="39"/>
    </row>
    <row r="21" spans="1:20" x14ac:dyDescent="0.15">
      <c r="A21" s="39"/>
      <c r="B21" s="244"/>
      <c r="C21" s="244"/>
      <c r="D21" s="55"/>
      <c r="E21" s="55"/>
      <c r="F21" s="55"/>
      <c r="G21" s="55"/>
      <c r="H21" s="55"/>
      <c r="I21" s="55"/>
      <c r="J21" s="55"/>
      <c r="K21" s="55"/>
      <c r="L21" s="55"/>
      <c r="M21" s="55"/>
      <c r="N21" s="55"/>
      <c r="O21" s="55"/>
      <c r="P21" s="55"/>
      <c r="Q21" s="55"/>
      <c r="R21" s="55"/>
      <c r="S21" s="56"/>
      <c r="T21" s="39"/>
    </row>
    <row r="22" spans="1:20" x14ac:dyDescent="0.15">
      <c r="A22" s="39"/>
      <c r="B22" s="244"/>
      <c r="C22" s="244"/>
      <c r="D22" s="55"/>
      <c r="E22" s="55"/>
      <c r="F22" s="55"/>
      <c r="G22" s="55"/>
      <c r="H22" s="55"/>
      <c r="I22" s="55"/>
      <c r="J22" s="55"/>
      <c r="K22" s="55"/>
      <c r="L22" s="55"/>
      <c r="M22" s="55"/>
      <c r="N22" s="55"/>
      <c r="O22" s="55"/>
      <c r="P22" s="55"/>
      <c r="Q22" s="55"/>
      <c r="R22" s="55"/>
      <c r="S22" s="56"/>
      <c r="T22" s="39"/>
    </row>
    <row r="23" spans="1:20" x14ac:dyDescent="0.15">
      <c r="A23" s="39"/>
      <c r="B23" s="244"/>
      <c r="C23" s="244"/>
      <c r="D23" s="55"/>
      <c r="E23" s="55"/>
      <c r="F23" s="55"/>
      <c r="G23" s="55"/>
      <c r="H23" s="55"/>
      <c r="I23" s="55"/>
      <c r="J23" s="55"/>
      <c r="K23" s="55"/>
      <c r="L23" s="55"/>
      <c r="M23" s="55"/>
      <c r="N23" s="55"/>
      <c r="O23" s="55"/>
      <c r="P23" s="55"/>
      <c r="Q23" s="55"/>
      <c r="R23" s="55"/>
      <c r="S23" s="56"/>
      <c r="T23" s="39"/>
    </row>
    <row r="24" spans="1:20" x14ac:dyDescent="0.15">
      <c r="A24" s="39"/>
      <c r="B24" s="244"/>
      <c r="C24" s="244"/>
      <c r="D24" s="55"/>
      <c r="E24" s="55"/>
      <c r="F24" s="55"/>
      <c r="G24" s="55"/>
      <c r="H24" s="55"/>
      <c r="I24" s="55"/>
      <c r="J24" s="55"/>
      <c r="K24" s="55"/>
      <c r="L24" s="55"/>
      <c r="M24" s="55"/>
      <c r="N24" s="55"/>
      <c r="O24" s="55"/>
      <c r="P24" s="55"/>
      <c r="Q24" s="55"/>
      <c r="R24" s="55"/>
      <c r="S24" s="56"/>
      <c r="T24" s="39"/>
    </row>
    <row r="25" spans="1:20" x14ac:dyDescent="0.15">
      <c r="A25" s="39"/>
      <c r="B25" s="244"/>
      <c r="C25" s="244"/>
      <c r="D25" s="55"/>
      <c r="E25" s="55"/>
      <c r="F25" s="55"/>
      <c r="G25" s="55"/>
      <c r="H25" s="55"/>
      <c r="I25" s="55"/>
      <c r="J25" s="55"/>
      <c r="K25" s="55"/>
      <c r="L25" s="55"/>
      <c r="M25" s="55"/>
      <c r="N25" s="55"/>
      <c r="O25" s="55"/>
      <c r="P25" s="55"/>
      <c r="Q25" s="55"/>
      <c r="R25" s="55"/>
      <c r="S25" s="56"/>
      <c r="T25" s="39"/>
    </row>
    <row r="26" spans="1:20" x14ac:dyDescent="0.15">
      <c r="A26" s="39"/>
      <c r="B26" s="245"/>
      <c r="C26" s="245"/>
      <c r="D26" s="61"/>
      <c r="E26" s="61"/>
      <c r="F26" s="61"/>
      <c r="G26" s="61"/>
      <c r="H26" s="61"/>
      <c r="I26" s="61"/>
      <c r="J26" s="61"/>
      <c r="K26" s="61"/>
      <c r="L26" s="61"/>
      <c r="M26" s="61"/>
      <c r="N26" s="61"/>
      <c r="O26" s="61"/>
      <c r="P26" s="61"/>
      <c r="Q26" s="61"/>
      <c r="R26" s="61"/>
      <c r="S26" s="62"/>
      <c r="T26" s="39"/>
    </row>
    <row r="27" spans="1:20" x14ac:dyDescent="0.15">
      <c r="A27" s="39"/>
      <c r="B27" s="246">
        <v>4</v>
      </c>
      <c r="C27" s="243" t="s">
        <v>412</v>
      </c>
      <c r="D27" s="59" t="s">
        <v>779</v>
      </c>
      <c r="E27" s="59" t="s">
        <v>182</v>
      </c>
      <c r="F27" s="59">
        <v>5</v>
      </c>
      <c r="G27" s="59" t="s">
        <v>654</v>
      </c>
      <c r="H27" s="59" t="s">
        <v>874</v>
      </c>
      <c r="I27" s="59" t="s">
        <v>67</v>
      </c>
      <c r="J27" s="59" t="s">
        <v>133</v>
      </c>
      <c r="K27" s="59" t="s">
        <v>875</v>
      </c>
      <c r="L27" s="59" t="s">
        <v>868</v>
      </c>
      <c r="M27" s="59" t="s">
        <v>867</v>
      </c>
      <c r="N27" s="59">
        <v>2</v>
      </c>
      <c r="O27" s="59">
        <v>1</v>
      </c>
      <c r="P27" s="59">
        <v>0</v>
      </c>
      <c r="Q27" s="59">
        <v>1</v>
      </c>
      <c r="R27" s="59">
        <v>2</v>
      </c>
      <c r="S27" s="60" t="s">
        <v>259</v>
      </c>
      <c r="T27" s="39"/>
    </row>
    <row r="28" spans="1:20" x14ac:dyDescent="0.15">
      <c r="A28" s="39"/>
      <c r="B28" s="244"/>
      <c r="C28" s="244"/>
      <c r="D28" s="55" t="s">
        <v>781</v>
      </c>
      <c r="E28" s="55" t="s">
        <v>789</v>
      </c>
      <c r="F28" s="55">
        <v>5</v>
      </c>
      <c r="G28" s="55" t="s">
        <v>876</v>
      </c>
      <c r="H28" s="55" t="s">
        <v>661</v>
      </c>
      <c r="I28" s="55" t="s">
        <v>878</v>
      </c>
      <c r="J28" s="55" t="s">
        <v>866</v>
      </c>
      <c r="K28" s="55" t="s">
        <v>875</v>
      </c>
      <c r="L28" s="55" t="s">
        <v>868</v>
      </c>
      <c r="M28" s="55" t="s">
        <v>868</v>
      </c>
      <c r="N28" s="55">
        <v>0</v>
      </c>
      <c r="O28" s="55">
        <v>0</v>
      </c>
      <c r="P28" s="55">
        <v>0</v>
      </c>
      <c r="Q28" s="55">
        <v>0</v>
      </c>
      <c r="R28" s="55">
        <v>0</v>
      </c>
      <c r="S28" s="56" t="s">
        <v>869</v>
      </c>
      <c r="T28" s="39"/>
    </row>
    <row r="29" spans="1:20" x14ac:dyDescent="0.15">
      <c r="A29" s="39"/>
      <c r="B29" s="244"/>
      <c r="C29" s="244"/>
      <c r="D29" s="55" t="s">
        <v>791</v>
      </c>
      <c r="E29" s="55" t="s">
        <v>790</v>
      </c>
      <c r="F29" s="55">
        <v>5</v>
      </c>
      <c r="G29" s="55" t="s">
        <v>879</v>
      </c>
      <c r="H29" s="55" t="s">
        <v>867</v>
      </c>
      <c r="I29" s="55" t="s">
        <v>867</v>
      </c>
      <c r="J29" s="55" t="s">
        <v>880</v>
      </c>
      <c r="K29" s="55" t="s">
        <v>875</v>
      </c>
      <c r="L29" s="55" t="s">
        <v>867</v>
      </c>
      <c r="M29" s="55" t="s">
        <v>867</v>
      </c>
      <c r="N29" s="55">
        <v>0</v>
      </c>
      <c r="O29" s="55">
        <v>0</v>
      </c>
      <c r="P29" s="55">
        <v>0</v>
      </c>
      <c r="Q29" s="55">
        <v>0</v>
      </c>
      <c r="R29" s="55">
        <v>0</v>
      </c>
      <c r="S29" s="56" t="s">
        <v>869</v>
      </c>
      <c r="T29" s="39"/>
    </row>
    <row r="30" spans="1:20" x14ac:dyDescent="0.15">
      <c r="A30" s="39"/>
      <c r="B30" s="244"/>
      <c r="C30" s="244"/>
      <c r="D30" s="55" t="s">
        <v>792</v>
      </c>
      <c r="E30" s="55"/>
      <c r="F30" s="55"/>
      <c r="G30" s="55"/>
      <c r="H30" s="55"/>
      <c r="I30" s="55"/>
      <c r="J30" s="55"/>
      <c r="K30" s="55"/>
      <c r="L30" s="55"/>
      <c r="M30" s="55"/>
      <c r="N30" s="55"/>
      <c r="O30" s="55"/>
      <c r="P30" s="55"/>
      <c r="Q30" s="55"/>
      <c r="R30" s="55"/>
      <c r="S30" s="56"/>
      <c r="T30" s="39"/>
    </row>
    <row r="31" spans="1:20" x14ac:dyDescent="0.15">
      <c r="A31" s="39"/>
      <c r="B31" s="244"/>
      <c r="C31" s="244"/>
      <c r="D31" s="55"/>
      <c r="E31" s="55"/>
      <c r="F31" s="55"/>
      <c r="G31" s="55"/>
      <c r="H31" s="55"/>
      <c r="I31" s="55"/>
      <c r="J31" s="55"/>
      <c r="K31" s="55"/>
      <c r="L31" s="55"/>
      <c r="M31" s="55"/>
      <c r="N31" s="55"/>
      <c r="O31" s="55"/>
      <c r="P31" s="55"/>
      <c r="Q31" s="55"/>
      <c r="R31" s="55"/>
      <c r="S31" s="56"/>
      <c r="T31" s="39"/>
    </row>
    <row r="32" spans="1:20" x14ac:dyDescent="0.15">
      <c r="A32" s="39"/>
      <c r="B32" s="244"/>
      <c r="C32" s="244"/>
      <c r="D32" s="55"/>
      <c r="E32" s="55"/>
      <c r="F32" s="55"/>
      <c r="G32" s="55"/>
      <c r="H32" s="55"/>
      <c r="I32" s="55"/>
      <c r="J32" s="55"/>
      <c r="K32" s="55"/>
      <c r="L32" s="55"/>
      <c r="M32" s="55"/>
      <c r="N32" s="55"/>
      <c r="O32" s="55"/>
      <c r="P32" s="55"/>
      <c r="Q32" s="55"/>
      <c r="R32" s="55"/>
      <c r="S32" s="56"/>
      <c r="T32" s="39"/>
    </row>
    <row r="33" spans="1:20" x14ac:dyDescent="0.15">
      <c r="A33" s="39"/>
      <c r="B33" s="244"/>
      <c r="C33" s="244"/>
      <c r="D33" s="55"/>
      <c r="E33" s="55"/>
      <c r="F33" s="55"/>
      <c r="G33" s="55"/>
      <c r="H33" s="55"/>
      <c r="I33" s="55"/>
      <c r="J33" s="55"/>
      <c r="K33" s="55"/>
      <c r="L33" s="55"/>
      <c r="M33" s="55"/>
      <c r="N33" s="55"/>
      <c r="O33" s="55"/>
      <c r="P33" s="55"/>
      <c r="Q33" s="55"/>
      <c r="R33" s="55"/>
      <c r="S33" s="56"/>
      <c r="T33" s="39"/>
    </row>
    <row r="34" spans="1:20" x14ac:dyDescent="0.15">
      <c r="A34" s="39"/>
      <c r="B34" s="245"/>
      <c r="C34" s="245"/>
      <c r="D34" s="61"/>
      <c r="E34" s="61"/>
      <c r="F34" s="61"/>
      <c r="G34" s="61"/>
      <c r="H34" s="61"/>
      <c r="I34" s="61"/>
      <c r="J34" s="61"/>
      <c r="K34" s="61"/>
      <c r="L34" s="61"/>
      <c r="M34" s="61"/>
      <c r="N34" s="61"/>
      <c r="O34" s="61"/>
      <c r="P34" s="61"/>
      <c r="Q34" s="61"/>
      <c r="R34" s="61"/>
      <c r="S34" s="62"/>
      <c r="T34" s="39"/>
    </row>
    <row r="35" spans="1:20" x14ac:dyDescent="0.15">
      <c r="A35" s="39"/>
      <c r="B35" s="246">
        <v>5</v>
      </c>
      <c r="C35" s="243" t="s">
        <v>413</v>
      </c>
      <c r="D35" s="59" t="s">
        <v>793</v>
      </c>
      <c r="E35" s="59" t="s">
        <v>182</v>
      </c>
      <c r="F35" s="59">
        <v>7</v>
      </c>
      <c r="G35" s="59" t="s">
        <v>654</v>
      </c>
      <c r="H35" s="59" t="s">
        <v>874</v>
      </c>
      <c r="I35" s="59" t="s">
        <v>67</v>
      </c>
      <c r="J35" s="59" t="s">
        <v>133</v>
      </c>
      <c r="K35" s="59" t="s">
        <v>875</v>
      </c>
      <c r="L35" s="59" t="s">
        <v>868</v>
      </c>
      <c r="M35" s="59" t="s">
        <v>867</v>
      </c>
      <c r="N35" s="59">
        <v>2</v>
      </c>
      <c r="O35" s="59">
        <v>1</v>
      </c>
      <c r="P35" s="59">
        <v>0</v>
      </c>
      <c r="Q35" s="59">
        <v>1</v>
      </c>
      <c r="R35" s="59">
        <v>2</v>
      </c>
      <c r="S35" s="60" t="s">
        <v>259</v>
      </c>
      <c r="T35" s="39"/>
    </row>
    <row r="36" spans="1:20" x14ac:dyDescent="0.15">
      <c r="A36" s="39"/>
      <c r="B36" s="244"/>
      <c r="C36" s="244"/>
      <c r="D36" s="55" t="s">
        <v>793</v>
      </c>
      <c r="E36" s="55" t="s">
        <v>789</v>
      </c>
      <c r="F36" s="55">
        <v>7</v>
      </c>
      <c r="G36" s="55" t="s">
        <v>876</v>
      </c>
      <c r="H36" s="55" t="s">
        <v>661</v>
      </c>
      <c r="I36" s="55" t="s">
        <v>878</v>
      </c>
      <c r="J36" s="55" t="s">
        <v>866</v>
      </c>
      <c r="K36" s="55" t="s">
        <v>875</v>
      </c>
      <c r="L36" s="55" t="s">
        <v>868</v>
      </c>
      <c r="M36" s="55" t="s">
        <v>868</v>
      </c>
      <c r="N36" s="55">
        <v>0</v>
      </c>
      <c r="O36" s="55">
        <v>0</v>
      </c>
      <c r="P36" s="55">
        <v>0</v>
      </c>
      <c r="Q36" s="55">
        <v>0</v>
      </c>
      <c r="R36" s="55">
        <v>0</v>
      </c>
      <c r="S36" s="56" t="s">
        <v>869</v>
      </c>
      <c r="T36" s="39"/>
    </row>
    <row r="37" spans="1:20" x14ac:dyDescent="0.15">
      <c r="A37" s="39"/>
      <c r="B37" s="244"/>
      <c r="C37" s="244"/>
      <c r="D37" s="55"/>
      <c r="E37" s="55" t="s">
        <v>790</v>
      </c>
      <c r="F37" s="55">
        <v>6</v>
      </c>
      <c r="G37" s="55" t="s">
        <v>879</v>
      </c>
      <c r="H37" s="55" t="s">
        <v>867</v>
      </c>
      <c r="I37" s="55" t="s">
        <v>867</v>
      </c>
      <c r="J37" s="55" t="s">
        <v>880</v>
      </c>
      <c r="K37" s="55" t="s">
        <v>875</v>
      </c>
      <c r="L37" s="55" t="s">
        <v>867</v>
      </c>
      <c r="M37" s="55" t="s">
        <v>867</v>
      </c>
      <c r="N37" s="55">
        <v>0</v>
      </c>
      <c r="O37" s="55">
        <v>0</v>
      </c>
      <c r="P37" s="55">
        <v>0</v>
      </c>
      <c r="Q37" s="55">
        <v>0</v>
      </c>
      <c r="R37" s="55">
        <v>0</v>
      </c>
      <c r="S37" s="56" t="s">
        <v>869</v>
      </c>
      <c r="T37" s="39"/>
    </row>
    <row r="38" spans="1:20" x14ac:dyDescent="0.15">
      <c r="A38" s="39"/>
      <c r="B38" s="244"/>
      <c r="C38" s="244"/>
      <c r="D38" s="55"/>
      <c r="E38" s="55"/>
      <c r="F38" s="55"/>
      <c r="G38" s="55"/>
      <c r="H38" s="55"/>
      <c r="I38" s="55"/>
      <c r="J38" s="55"/>
      <c r="K38" s="55"/>
      <c r="L38" s="55"/>
      <c r="M38" s="55"/>
      <c r="N38" s="55"/>
      <c r="O38" s="55"/>
      <c r="P38" s="55"/>
      <c r="Q38" s="55"/>
      <c r="R38" s="55"/>
      <c r="S38" s="56"/>
      <c r="T38" s="39"/>
    </row>
    <row r="39" spans="1:20" x14ac:dyDescent="0.15">
      <c r="A39" s="39"/>
      <c r="B39" s="244"/>
      <c r="C39" s="244"/>
      <c r="D39" s="55"/>
      <c r="E39" s="55"/>
      <c r="F39" s="55"/>
      <c r="G39" s="55"/>
      <c r="H39" s="55"/>
      <c r="I39" s="55"/>
      <c r="J39" s="55"/>
      <c r="K39" s="55"/>
      <c r="L39" s="55"/>
      <c r="M39" s="55"/>
      <c r="N39" s="55"/>
      <c r="O39" s="55"/>
      <c r="P39" s="55"/>
      <c r="Q39" s="55"/>
      <c r="R39" s="55"/>
      <c r="S39" s="56"/>
      <c r="T39" s="39"/>
    </row>
    <row r="40" spans="1:20" x14ac:dyDescent="0.15">
      <c r="A40" s="39"/>
      <c r="B40" s="244"/>
      <c r="C40" s="244"/>
      <c r="D40" s="55"/>
      <c r="E40" s="55"/>
      <c r="F40" s="55"/>
      <c r="G40" s="55"/>
      <c r="H40" s="55"/>
      <c r="I40" s="55"/>
      <c r="J40" s="55"/>
      <c r="K40" s="55"/>
      <c r="L40" s="55"/>
      <c r="M40" s="55"/>
      <c r="N40" s="55"/>
      <c r="O40" s="55"/>
      <c r="P40" s="55"/>
      <c r="Q40" s="55"/>
      <c r="R40" s="55"/>
      <c r="S40" s="56"/>
      <c r="T40" s="39"/>
    </row>
    <row r="41" spans="1:20" x14ac:dyDescent="0.15">
      <c r="A41" s="39"/>
      <c r="B41" s="244"/>
      <c r="C41" s="244"/>
      <c r="D41" s="55"/>
      <c r="E41" s="55"/>
      <c r="F41" s="55"/>
      <c r="G41" s="55"/>
      <c r="H41" s="55"/>
      <c r="I41" s="55"/>
      <c r="J41" s="55"/>
      <c r="K41" s="55"/>
      <c r="L41" s="55"/>
      <c r="M41" s="55"/>
      <c r="N41" s="55"/>
      <c r="O41" s="55"/>
      <c r="P41" s="55"/>
      <c r="Q41" s="55"/>
      <c r="R41" s="55"/>
      <c r="S41" s="56"/>
      <c r="T41" s="39"/>
    </row>
    <row r="42" spans="1:20" x14ac:dyDescent="0.15">
      <c r="A42" s="39"/>
      <c r="B42" s="245"/>
      <c r="C42" s="245"/>
      <c r="D42" s="61"/>
      <c r="E42" s="61"/>
      <c r="F42" s="61"/>
      <c r="G42" s="61"/>
      <c r="H42" s="61"/>
      <c r="I42" s="61"/>
      <c r="J42" s="61"/>
      <c r="K42" s="61"/>
      <c r="L42" s="61"/>
      <c r="M42" s="61"/>
      <c r="N42" s="61"/>
      <c r="O42" s="61"/>
      <c r="P42" s="61"/>
      <c r="Q42" s="61"/>
      <c r="R42" s="61"/>
      <c r="S42" s="62"/>
      <c r="T42" s="39"/>
    </row>
    <row r="43" spans="1:20" x14ac:dyDescent="0.15">
      <c r="A43" s="39"/>
      <c r="B43" s="246">
        <v>6</v>
      </c>
      <c r="C43" s="243" t="s">
        <v>411</v>
      </c>
      <c r="D43" s="59" t="s">
        <v>787</v>
      </c>
      <c r="E43" s="59" t="s">
        <v>182</v>
      </c>
      <c r="F43" s="59">
        <v>7</v>
      </c>
      <c r="G43" s="59" t="s">
        <v>654</v>
      </c>
      <c r="H43" s="59" t="s">
        <v>874</v>
      </c>
      <c r="I43" s="59" t="s">
        <v>67</v>
      </c>
      <c r="J43" s="59" t="s">
        <v>133</v>
      </c>
      <c r="K43" s="59" t="s">
        <v>875</v>
      </c>
      <c r="L43" s="59" t="s">
        <v>868</v>
      </c>
      <c r="M43" s="59" t="s">
        <v>867</v>
      </c>
      <c r="N43" s="59">
        <v>2</v>
      </c>
      <c r="O43" s="59">
        <v>2</v>
      </c>
      <c r="P43" s="59">
        <v>0</v>
      </c>
      <c r="Q43" s="59">
        <v>1</v>
      </c>
      <c r="R43" s="59">
        <v>2</v>
      </c>
      <c r="S43" s="60" t="s">
        <v>259</v>
      </c>
      <c r="T43" s="39"/>
    </row>
    <row r="44" spans="1:20" x14ac:dyDescent="0.15">
      <c r="A44" s="39"/>
      <c r="B44" s="244"/>
      <c r="C44" s="244"/>
      <c r="D44" s="55" t="s">
        <v>788</v>
      </c>
      <c r="E44" s="55" t="s">
        <v>789</v>
      </c>
      <c r="F44" s="55">
        <v>7</v>
      </c>
      <c r="G44" s="55" t="s">
        <v>876</v>
      </c>
      <c r="H44" s="55" t="s">
        <v>661</v>
      </c>
      <c r="I44" s="55" t="s">
        <v>878</v>
      </c>
      <c r="J44" s="55" t="s">
        <v>866</v>
      </c>
      <c r="K44" s="55" t="s">
        <v>875</v>
      </c>
      <c r="L44" s="55" t="s">
        <v>868</v>
      </c>
      <c r="M44" s="55" t="s">
        <v>868</v>
      </c>
      <c r="N44" s="55">
        <v>0</v>
      </c>
      <c r="O44" s="55">
        <v>0</v>
      </c>
      <c r="P44" s="55">
        <v>0</v>
      </c>
      <c r="Q44" s="55">
        <v>0</v>
      </c>
      <c r="R44" s="55">
        <v>0</v>
      </c>
      <c r="S44" s="56" t="s">
        <v>869</v>
      </c>
      <c r="T44" s="39"/>
    </row>
    <row r="45" spans="1:20" x14ac:dyDescent="0.15">
      <c r="A45" s="39"/>
      <c r="B45" s="244"/>
      <c r="C45" s="244"/>
      <c r="D45" s="55" t="s">
        <v>788</v>
      </c>
      <c r="E45" s="55" t="s">
        <v>790</v>
      </c>
      <c r="F45" s="55">
        <v>7</v>
      </c>
      <c r="G45" s="55" t="s">
        <v>879</v>
      </c>
      <c r="H45" s="55" t="s">
        <v>881</v>
      </c>
      <c r="I45" s="55" t="s">
        <v>867</v>
      </c>
      <c r="J45" s="55" t="s">
        <v>880</v>
      </c>
      <c r="K45" s="55" t="s">
        <v>875</v>
      </c>
      <c r="L45" s="55" t="s">
        <v>867</v>
      </c>
      <c r="M45" s="55" t="s">
        <v>867</v>
      </c>
      <c r="N45" s="55">
        <v>0</v>
      </c>
      <c r="O45" s="55">
        <v>0</v>
      </c>
      <c r="P45" s="55">
        <v>0</v>
      </c>
      <c r="Q45" s="55">
        <v>0</v>
      </c>
      <c r="R45" s="55">
        <v>0</v>
      </c>
      <c r="S45" s="56" t="s">
        <v>869</v>
      </c>
      <c r="T45" s="39"/>
    </row>
    <row r="46" spans="1:20" x14ac:dyDescent="0.15">
      <c r="A46" s="39"/>
      <c r="B46" s="244"/>
      <c r="C46" s="244"/>
      <c r="D46" s="55"/>
      <c r="E46" s="55"/>
      <c r="F46" s="55"/>
      <c r="G46" s="55"/>
      <c r="H46" s="55"/>
      <c r="I46" s="55"/>
      <c r="J46" s="55"/>
      <c r="K46" s="55"/>
      <c r="L46" s="55"/>
      <c r="M46" s="55"/>
      <c r="N46" s="55"/>
      <c r="O46" s="55"/>
      <c r="P46" s="55"/>
      <c r="Q46" s="55"/>
      <c r="R46" s="55"/>
      <c r="S46" s="56"/>
      <c r="T46" s="39"/>
    </row>
    <row r="47" spans="1:20" x14ac:dyDescent="0.15">
      <c r="A47" s="39"/>
      <c r="B47" s="244"/>
      <c r="C47" s="244"/>
      <c r="D47" s="55"/>
      <c r="E47" s="55"/>
      <c r="F47" s="55"/>
      <c r="G47" s="55"/>
      <c r="H47" s="55"/>
      <c r="I47" s="55"/>
      <c r="J47" s="55"/>
      <c r="K47" s="55"/>
      <c r="L47" s="55"/>
      <c r="M47" s="55"/>
      <c r="N47" s="55"/>
      <c r="O47" s="55"/>
      <c r="P47" s="55"/>
      <c r="Q47" s="55"/>
      <c r="R47" s="55"/>
      <c r="S47" s="56"/>
      <c r="T47" s="39"/>
    </row>
    <row r="48" spans="1:20" x14ac:dyDescent="0.15">
      <c r="A48" s="39"/>
      <c r="B48" s="244"/>
      <c r="C48" s="244"/>
      <c r="D48" s="55"/>
      <c r="E48" s="55"/>
      <c r="F48" s="55"/>
      <c r="G48" s="55"/>
      <c r="H48" s="55"/>
      <c r="I48" s="55"/>
      <c r="J48" s="55"/>
      <c r="K48" s="55"/>
      <c r="L48" s="55"/>
      <c r="M48" s="55"/>
      <c r="N48" s="55"/>
      <c r="O48" s="55"/>
      <c r="P48" s="55"/>
      <c r="Q48" s="55"/>
      <c r="R48" s="55"/>
      <c r="S48" s="56"/>
      <c r="T48" s="39"/>
    </row>
    <row r="49" spans="1:20" x14ac:dyDescent="0.15">
      <c r="A49" s="39"/>
      <c r="B49" s="244"/>
      <c r="C49" s="244"/>
      <c r="D49" s="55"/>
      <c r="E49" s="55"/>
      <c r="F49" s="55"/>
      <c r="G49" s="55"/>
      <c r="H49" s="55"/>
      <c r="I49" s="55"/>
      <c r="J49" s="55"/>
      <c r="K49" s="55"/>
      <c r="L49" s="55"/>
      <c r="M49" s="55"/>
      <c r="N49" s="55"/>
      <c r="O49" s="55"/>
      <c r="P49" s="55"/>
      <c r="Q49" s="55"/>
      <c r="R49" s="55"/>
      <c r="S49" s="56"/>
      <c r="T49" s="39"/>
    </row>
    <row r="50" spans="1:20" x14ac:dyDescent="0.15">
      <c r="A50" s="39"/>
      <c r="B50" s="245"/>
      <c r="C50" s="245"/>
      <c r="D50" s="61"/>
      <c r="E50" s="61"/>
      <c r="F50" s="61"/>
      <c r="G50" s="61"/>
      <c r="H50" s="61"/>
      <c r="I50" s="61"/>
      <c r="J50" s="61"/>
      <c r="K50" s="61"/>
      <c r="L50" s="61"/>
      <c r="M50" s="61"/>
      <c r="N50" s="61"/>
      <c r="O50" s="61"/>
      <c r="P50" s="61"/>
      <c r="Q50" s="61"/>
      <c r="R50" s="61"/>
      <c r="S50" s="62"/>
      <c r="T50" s="39"/>
    </row>
    <row r="51" spans="1:20" x14ac:dyDescent="0.15">
      <c r="A51" s="39"/>
      <c r="B51" s="246">
        <v>7</v>
      </c>
      <c r="C51" s="243" t="s">
        <v>414</v>
      </c>
      <c r="D51" s="59" t="s">
        <v>650</v>
      </c>
      <c r="E51" s="59" t="s">
        <v>182</v>
      </c>
      <c r="F51" s="59">
        <v>8</v>
      </c>
      <c r="G51" s="59" t="s">
        <v>654</v>
      </c>
      <c r="H51" s="59" t="s">
        <v>655</v>
      </c>
      <c r="I51" s="59" t="s">
        <v>67</v>
      </c>
      <c r="J51" s="59" t="s">
        <v>665</v>
      </c>
      <c r="K51" s="59" t="s">
        <v>657</v>
      </c>
      <c r="L51" s="59" t="s">
        <v>656</v>
      </c>
      <c r="M51" s="59" t="s">
        <v>656</v>
      </c>
      <c r="N51" s="59">
        <v>2</v>
      </c>
      <c r="O51" s="59">
        <v>2</v>
      </c>
      <c r="P51" s="59">
        <v>0</v>
      </c>
      <c r="Q51" s="59">
        <v>1</v>
      </c>
      <c r="R51" s="59">
        <v>3</v>
      </c>
      <c r="S51" s="60" t="s">
        <v>259</v>
      </c>
      <c r="T51" s="39"/>
    </row>
    <row r="52" spans="1:20" x14ac:dyDescent="0.15">
      <c r="A52" s="39"/>
      <c r="B52" s="244"/>
      <c r="C52" s="244"/>
      <c r="D52" s="55" t="s">
        <v>650</v>
      </c>
      <c r="E52" s="55" t="s">
        <v>651</v>
      </c>
      <c r="F52" s="55">
        <v>9</v>
      </c>
      <c r="G52" s="55" t="s">
        <v>658</v>
      </c>
      <c r="H52" s="55" t="s">
        <v>661</v>
      </c>
      <c r="I52" s="55" t="s">
        <v>663</v>
      </c>
      <c r="J52" s="55" t="s">
        <v>664</v>
      </c>
      <c r="K52" s="55" t="s">
        <v>657</v>
      </c>
      <c r="L52" s="55" t="s">
        <v>656</v>
      </c>
      <c r="M52" s="55" t="s">
        <v>656</v>
      </c>
      <c r="N52" s="55">
        <v>0</v>
      </c>
      <c r="O52" s="55">
        <v>0</v>
      </c>
      <c r="P52" s="55">
        <v>1</v>
      </c>
      <c r="Q52" s="55">
        <v>0</v>
      </c>
      <c r="R52" s="55">
        <v>0</v>
      </c>
      <c r="S52" s="56" t="s">
        <v>259</v>
      </c>
      <c r="T52" s="39"/>
    </row>
    <row r="53" spans="1:20" x14ac:dyDescent="0.15">
      <c r="A53" s="39"/>
      <c r="B53" s="244"/>
      <c r="C53" s="244"/>
      <c r="D53" s="55" t="s">
        <v>650</v>
      </c>
      <c r="E53" s="55" t="s">
        <v>652</v>
      </c>
      <c r="F53" s="55">
        <v>9</v>
      </c>
      <c r="G53" s="55" t="s">
        <v>659</v>
      </c>
      <c r="H53" s="55" t="s">
        <v>684</v>
      </c>
      <c r="I53" s="55" t="s">
        <v>656</v>
      </c>
      <c r="J53" s="55" t="s">
        <v>666</v>
      </c>
      <c r="K53" s="55" t="s">
        <v>668</v>
      </c>
      <c r="L53" s="55" t="s">
        <v>656</v>
      </c>
      <c r="M53" s="55" t="s">
        <v>669</v>
      </c>
      <c r="N53" s="55">
        <v>0</v>
      </c>
      <c r="O53" s="55">
        <v>0</v>
      </c>
      <c r="P53" s="55">
        <v>0</v>
      </c>
      <c r="Q53" s="55">
        <v>0</v>
      </c>
      <c r="R53" s="55">
        <v>0</v>
      </c>
      <c r="S53" s="56" t="s">
        <v>259</v>
      </c>
      <c r="T53" s="39"/>
    </row>
    <row r="54" spans="1:20" x14ac:dyDescent="0.15">
      <c r="A54" s="39"/>
      <c r="B54" s="244"/>
      <c r="C54" s="244"/>
      <c r="D54" s="55"/>
      <c r="E54" s="55" t="s">
        <v>653</v>
      </c>
      <c r="F54" s="55">
        <v>2</v>
      </c>
      <c r="G54" s="55" t="s">
        <v>660</v>
      </c>
      <c r="H54" s="55" t="s">
        <v>662</v>
      </c>
      <c r="I54" s="55" t="s">
        <v>656</v>
      </c>
      <c r="J54" s="55" t="s">
        <v>667</v>
      </c>
      <c r="K54" s="55" t="s">
        <v>685</v>
      </c>
      <c r="L54" s="55" t="s">
        <v>656</v>
      </c>
      <c r="M54" s="55" t="s">
        <v>656</v>
      </c>
      <c r="N54" s="55">
        <v>0</v>
      </c>
      <c r="O54" s="55">
        <v>0</v>
      </c>
      <c r="P54" s="55">
        <v>0</v>
      </c>
      <c r="Q54" s="55">
        <v>0</v>
      </c>
      <c r="R54" s="55">
        <v>0</v>
      </c>
      <c r="S54" s="56" t="s">
        <v>259</v>
      </c>
      <c r="T54" s="39"/>
    </row>
    <row r="55" spans="1:20" x14ac:dyDescent="0.15">
      <c r="A55" s="39"/>
      <c r="B55" s="244"/>
      <c r="C55" s="244"/>
      <c r="D55" s="55"/>
      <c r="E55" s="55"/>
      <c r="F55" s="55"/>
      <c r="G55" s="55"/>
      <c r="H55" s="55"/>
      <c r="I55" s="55"/>
      <c r="J55" s="55"/>
      <c r="K55" s="55"/>
      <c r="L55" s="55"/>
      <c r="M55" s="55"/>
      <c r="N55" s="55"/>
      <c r="O55" s="55"/>
      <c r="P55" s="55"/>
      <c r="Q55" s="55"/>
      <c r="R55" s="55"/>
      <c r="S55" s="56"/>
      <c r="T55" s="39"/>
    </row>
    <row r="56" spans="1:20" x14ac:dyDescent="0.15">
      <c r="A56" s="39"/>
      <c r="B56" s="244"/>
      <c r="C56" s="244"/>
      <c r="D56" s="55"/>
      <c r="E56" s="55"/>
      <c r="F56" s="55"/>
      <c r="G56" s="55"/>
      <c r="H56" s="55"/>
      <c r="I56" s="55"/>
      <c r="J56" s="55"/>
      <c r="K56" s="55"/>
      <c r="L56" s="55"/>
      <c r="M56" s="55"/>
      <c r="N56" s="55"/>
      <c r="O56" s="55"/>
      <c r="P56" s="55"/>
      <c r="Q56" s="55"/>
      <c r="R56" s="55"/>
      <c r="S56" s="56"/>
      <c r="T56" s="39"/>
    </row>
    <row r="57" spans="1:20" x14ac:dyDescent="0.15">
      <c r="A57" s="39"/>
      <c r="B57" s="244"/>
      <c r="C57" s="244"/>
      <c r="D57" s="55"/>
      <c r="E57" s="55"/>
      <c r="F57" s="55"/>
      <c r="G57" s="55"/>
      <c r="H57" s="55"/>
      <c r="I57" s="55"/>
      <c r="J57" s="55"/>
      <c r="K57" s="55"/>
      <c r="L57" s="55"/>
      <c r="M57" s="55"/>
      <c r="N57" s="55"/>
      <c r="O57" s="55"/>
      <c r="P57" s="55"/>
      <c r="Q57" s="55"/>
      <c r="R57" s="55"/>
      <c r="S57" s="56"/>
      <c r="T57" s="39"/>
    </row>
    <row r="58" spans="1:20" x14ac:dyDescent="0.15">
      <c r="A58" s="39"/>
      <c r="B58" s="245"/>
      <c r="C58" s="245"/>
      <c r="D58" s="61"/>
      <c r="E58" s="61"/>
      <c r="F58" s="61"/>
      <c r="G58" s="61"/>
      <c r="H58" s="61"/>
      <c r="I58" s="61"/>
      <c r="J58" s="61"/>
      <c r="K58" s="61"/>
      <c r="L58" s="61"/>
      <c r="M58" s="61"/>
      <c r="N58" s="61"/>
      <c r="O58" s="61"/>
      <c r="P58" s="61"/>
      <c r="Q58" s="61"/>
      <c r="R58" s="61"/>
      <c r="S58" s="62"/>
      <c r="T58" s="39"/>
    </row>
    <row r="59" spans="1:20" x14ac:dyDescent="0.15">
      <c r="A59" s="39"/>
      <c r="B59" s="246">
        <v>8</v>
      </c>
      <c r="C59" s="243" t="s">
        <v>415</v>
      </c>
      <c r="D59" s="59" t="s">
        <v>794</v>
      </c>
      <c r="E59" s="59" t="s">
        <v>182</v>
      </c>
      <c r="F59" s="59">
        <v>10</v>
      </c>
      <c r="G59" s="59" t="s">
        <v>654</v>
      </c>
      <c r="H59" s="59" t="s">
        <v>655</v>
      </c>
      <c r="I59" s="59" t="s">
        <v>67</v>
      </c>
      <c r="J59" s="59" t="s">
        <v>665</v>
      </c>
      <c r="K59" s="59" t="s">
        <v>657</v>
      </c>
      <c r="L59" s="59" t="s">
        <v>656</v>
      </c>
      <c r="M59" s="59" t="s">
        <v>656</v>
      </c>
      <c r="N59" s="59">
        <v>2</v>
      </c>
      <c r="O59" s="59">
        <v>2</v>
      </c>
      <c r="P59" s="59">
        <v>0</v>
      </c>
      <c r="Q59" s="59">
        <v>1</v>
      </c>
      <c r="R59" s="59">
        <v>3</v>
      </c>
      <c r="S59" s="60" t="s">
        <v>259</v>
      </c>
      <c r="T59" s="39"/>
    </row>
    <row r="60" spans="1:20" x14ac:dyDescent="0.15">
      <c r="A60" s="39"/>
      <c r="B60" s="244"/>
      <c r="C60" s="244"/>
      <c r="D60" s="55" t="s">
        <v>794</v>
      </c>
      <c r="E60" s="55" t="s">
        <v>789</v>
      </c>
      <c r="F60" s="55">
        <v>11</v>
      </c>
      <c r="G60" s="55" t="s">
        <v>658</v>
      </c>
      <c r="H60" s="55" t="s">
        <v>889</v>
      </c>
      <c r="I60" s="55" t="s">
        <v>663</v>
      </c>
      <c r="J60" s="55" t="s">
        <v>888</v>
      </c>
      <c r="K60" s="55" t="s">
        <v>657</v>
      </c>
      <c r="L60" s="55" t="s">
        <v>656</v>
      </c>
      <c r="M60" s="55" t="s">
        <v>656</v>
      </c>
      <c r="N60" s="55">
        <v>0</v>
      </c>
      <c r="O60" s="55">
        <v>0</v>
      </c>
      <c r="P60" s="55">
        <v>1</v>
      </c>
      <c r="Q60" s="55">
        <v>0</v>
      </c>
      <c r="R60" s="55">
        <v>0</v>
      </c>
      <c r="S60" s="56" t="s">
        <v>869</v>
      </c>
      <c r="T60" s="39"/>
    </row>
    <row r="61" spans="1:20" x14ac:dyDescent="0.15">
      <c r="A61" s="39"/>
      <c r="B61" s="244"/>
      <c r="C61" s="244"/>
      <c r="D61" s="55"/>
      <c r="E61" s="55" t="s">
        <v>790</v>
      </c>
      <c r="F61" s="55">
        <v>11</v>
      </c>
      <c r="G61" s="55" t="s">
        <v>659</v>
      </c>
      <c r="H61" s="55" t="s">
        <v>636</v>
      </c>
      <c r="I61" s="55" t="s">
        <v>656</v>
      </c>
      <c r="J61" s="55" t="s">
        <v>666</v>
      </c>
      <c r="K61" s="55" t="s">
        <v>882</v>
      </c>
      <c r="L61" s="55" t="s">
        <v>656</v>
      </c>
      <c r="M61" s="55" t="s">
        <v>883</v>
      </c>
      <c r="N61" s="55">
        <v>0</v>
      </c>
      <c r="O61" s="55">
        <v>0</v>
      </c>
      <c r="P61" s="55">
        <v>0</v>
      </c>
      <c r="Q61" s="55">
        <v>0</v>
      </c>
      <c r="R61" s="55">
        <v>0</v>
      </c>
      <c r="S61" s="56" t="s">
        <v>869</v>
      </c>
      <c r="T61" s="39"/>
    </row>
    <row r="62" spans="1:20" x14ac:dyDescent="0.15">
      <c r="A62" s="39"/>
      <c r="B62" s="244"/>
      <c r="C62" s="244"/>
      <c r="D62" s="55"/>
      <c r="E62" s="55" t="s">
        <v>795</v>
      </c>
      <c r="F62" s="55">
        <v>10</v>
      </c>
      <c r="G62" s="55" t="s">
        <v>884</v>
      </c>
      <c r="H62" s="55" t="s">
        <v>885</v>
      </c>
      <c r="I62" s="55" t="s">
        <v>886</v>
      </c>
      <c r="J62" s="55" t="s">
        <v>887</v>
      </c>
      <c r="K62" s="55" t="s">
        <v>883</v>
      </c>
      <c r="L62" s="55" t="s">
        <v>883</v>
      </c>
      <c r="M62" s="55" t="s">
        <v>883</v>
      </c>
      <c r="N62" s="55">
        <v>0</v>
      </c>
      <c r="O62" s="55">
        <v>0</v>
      </c>
      <c r="P62" s="55">
        <v>0</v>
      </c>
      <c r="Q62" s="55">
        <v>0</v>
      </c>
      <c r="R62" s="55">
        <v>0</v>
      </c>
      <c r="S62" s="56" t="s">
        <v>869</v>
      </c>
      <c r="T62" s="39"/>
    </row>
    <row r="63" spans="1:20" x14ac:dyDescent="0.15">
      <c r="A63" s="39"/>
      <c r="B63" s="244"/>
      <c r="C63" s="244"/>
      <c r="D63" s="55"/>
      <c r="E63" s="55"/>
      <c r="F63" s="55"/>
      <c r="G63" s="55"/>
      <c r="H63" s="55"/>
      <c r="I63" s="55"/>
      <c r="J63" s="55"/>
      <c r="K63" s="55"/>
      <c r="L63" s="55"/>
      <c r="M63" s="55"/>
      <c r="N63" s="55"/>
      <c r="O63" s="55"/>
      <c r="P63" s="55"/>
      <c r="Q63" s="55"/>
      <c r="R63" s="55"/>
      <c r="S63" s="56"/>
      <c r="T63" s="39"/>
    </row>
    <row r="64" spans="1:20" x14ac:dyDescent="0.15">
      <c r="A64" s="39"/>
      <c r="B64" s="244"/>
      <c r="C64" s="244"/>
      <c r="D64" s="55"/>
      <c r="E64" s="55"/>
      <c r="F64" s="55"/>
      <c r="G64" s="55"/>
      <c r="H64" s="55"/>
      <c r="I64" s="55"/>
      <c r="J64" s="55"/>
      <c r="K64" s="55"/>
      <c r="L64" s="55"/>
      <c r="M64" s="55"/>
      <c r="N64" s="55"/>
      <c r="O64" s="55"/>
      <c r="P64" s="55"/>
      <c r="Q64" s="55"/>
      <c r="R64" s="55"/>
      <c r="S64" s="56"/>
      <c r="T64" s="39"/>
    </row>
    <row r="65" spans="1:20" x14ac:dyDescent="0.15">
      <c r="A65" s="39"/>
      <c r="B65" s="244"/>
      <c r="C65" s="244"/>
      <c r="D65" s="55"/>
      <c r="E65" s="55"/>
      <c r="F65" s="55"/>
      <c r="G65" s="55"/>
      <c r="H65" s="55"/>
      <c r="I65" s="55"/>
      <c r="J65" s="55"/>
      <c r="K65" s="55"/>
      <c r="L65" s="55"/>
      <c r="M65" s="55"/>
      <c r="N65" s="55"/>
      <c r="O65" s="55"/>
      <c r="P65" s="55"/>
      <c r="Q65" s="55"/>
      <c r="R65" s="55"/>
      <c r="S65" s="56"/>
      <c r="T65" s="39"/>
    </row>
    <row r="66" spans="1:20" x14ac:dyDescent="0.15">
      <c r="A66" s="39"/>
      <c r="B66" s="245"/>
      <c r="C66" s="245"/>
      <c r="D66" s="61"/>
      <c r="E66" s="61"/>
      <c r="F66" s="61"/>
      <c r="G66" s="61"/>
      <c r="H66" s="61"/>
      <c r="I66" s="61"/>
      <c r="J66" s="61"/>
      <c r="K66" s="61"/>
      <c r="L66" s="61"/>
      <c r="M66" s="61"/>
      <c r="N66" s="61"/>
      <c r="O66" s="61"/>
      <c r="P66" s="61"/>
      <c r="Q66" s="61"/>
      <c r="R66" s="61"/>
      <c r="S66" s="62"/>
      <c r="T66" s="39"/>
    </row>
    <row r="67" spans="1:20" x14ac:dyDescent="0.15">
      <c r="A67" s="39"/>
      <c r="B67" s="246">
        <v>9</v>
      </c>
      <c r="C67" s="243" t="s">
        <v>416</v>
      </c>
      <c r="D67" s="59" t="s">
        <v>796</v>
      </c>
      <c r="E67" s="59" t="s">
        <v>890</v>
      </c>
      <c r="F67" s="140">
        <v>10</v>
      </c>
      <c r="G67" s="140" t="s">
        <v>658</v>
      </c>
      <c r="H67" s="140" t="s">
        <v>889</v>
      </c>
      <c r="I67" s="140" t="s">
        <v>663</v>
      </c>
      <c r="J67" s="140" t="s">
        <v>888</v>
      </c>
      <c r="K67" s="140" t="s">
        <v>657</v>
      </c>
      <c r="L67" s="140" t="s">
        <v>656</v>
      </c>
      <c r="M67" s="140" t="s">
        <v>656</v>
      </c>
      <c r="N67" s="140">
        <v>0</v>
      </c>
      <c r="O67" s="140">
        <v>0</v>
      </c>
      <c r="P67" s="140">
        <v>1</v>
      </c>
      <c r="Q67" s="140">
        <v>0</v>
      </c>
      <c r="R67" s="140">
        <v>0</v>
      </c>
      <c r="S67" s="160" t="s">
        <v>259</v>
      </c>
      <c r="T67" s="39"/>
    </row>
    <row r="68" spans="1:20" x14ac:dyDescent="0.15">
      <c r="A68" s="39"/>
      <c r="B68" s="244"/>
      <c r="C68" s="244"/>
      <c r="D68" s="55" t="s">
        <v>797</v>
      </c>
      <c r="E68" s="55" t="s">
        <v>182</v>
      </c>
      <c r="F68" s="138">
        <v>11</v>
      </c>
      <c r="G68" s="138" t="s">
        <v>654</v>
      </c>
      <c r="H68" s="138" t="s">
        <v>655</v>
      </c>
      <c r="I68" s="138" t="s">
        <v>67</v>
      </c>
      <c r="J68" s="138" t="s">
        <v>665</v>
      </c>
      <c r="K68" s="138" t="s">
        <v>657</v>
      </c>
      <c r="L68" s="138" t="s">
        <v>656</v>
      </c>
      <c r="M68" s="138" t="s">
        <v>656</v>
      </c>
      <c r="N68" s="138">
        <v>2</v>
      </c>
      <c r="O68" s="138">
        <v>2</v>
      </c>
      <c r="P68" s="138">
        <v>0</v>
      </c>
      <c r="Q68" s="138">
        <v>1</v>
      </c>
      <c r="R68" s="138">
        <v>3</v>
      </c>
      <c r="S68" s="161" t="s">
        <v>869</v>
      </c>
      <c r="T68" s="39"/>
    </row>
    <row r="69" spans="1:20" x14ac:dyDescent="0.15">
      <c r="A69" s="39"/>
      <c r="B69" s="244"/>
      <c r="C69" s="244"/>
      <c r="D69" s="55"/>
      <c r="E69" s="55"/>
      <c r="F69" s="138"/>
      <c r="G69" s="138"/>
      <c r="H69" s="138"/>
      <c r="I69" s="138"/>
      <c r="J69" s="138"/>
      <c r="K69" s="138"/>
      <c r="L69" s="138"/>
      <c r="M69" s="138"/>
      <c r="N69" s="138"/>
      <c r="O69" s="138"/>
      <c r="P69" s="138"/>
      <c r="Q69" s="138"/>
      <c r="R69" s="138"/>
      <c r="S69" s="161"/>
      <c r="T69" s="39"/>
    </row>
    <row r="70" spans="1:20" x14ac:dyDescent="0.15">
      <c r="A70" s="39"/>
      <c r="B70" s="244"/>
      <c r="C70" s="244"/>
      <c r="D70" s="55"/>
      <c r="E70" s="55"/>
      <c r="F70" s="138"/>
      <c r="G70" s="138"/>
      <c r="H70" s="138"/>
      <c r="I70" s="138"/>
      <c r="J70" s="138"/>
      <c r="K70" s="138"/>
      <c r="L70" s="138"/>
      <c r="M70" s="138"/>
      <c r="N70" s="138"/>
      <c r="O70" s="138"/>
      <c r="P70" s="138"/>
      <c r="Q70" s="138"/>
      <c r="R70" s="138"/>
      <c r="S70" s="161"/>
      <c r="T70" s="39"/>
    </row>
    <row r="71" spans="1:20" x14ac:dyDescent="0.15">
      <c r="A71" s="39"/>
      <c r="B71" s="244"/>
      <c r="C71" s="244"/>
      <c r="D71" s="55"/>
      <c r="E71" s="55"/>
      <c r="F71" s="138"/>
      <c r="G71" s="138"/>
      <c r="H71" s="138"/>
      <c r="I71" s="138"/>
      <c r="J71" s="138"/>
      <c r="K71" s="138"/>
      <c r="L71" s="138"/>
      <c r="M71" s="138"/>
      <c r="N71" s="138"/>
      <c r="O71" s="138"/>
      <c r="P71" s="138"/>
      <c r="Q71" s="138"/>
      <c r="R71" s="138"/>
      <c r="S71" s="161"/>
      <c r="T71" s="39"/>
    </row>
    <row r="72" spans="1:20" x14ac:dyDescent="0.15">
      <c r="A72" s="39"/>
      <c r="B72" s="244"/>
      <c r="C72" s="244"/>
      <c r="D72" s="55"/>
      <c r="E72" s="55"/>
      <c r="F72" s="138"/>
      <c r="G72" s="138"/>
      <c r="H72" s="138"/>
      <c r="I72" s="138"/>
      <c r="J72" s="138"/>
      <c r="K72" s="138"/>
      <c r="L72" s="138"/>
      <c r="M72" s="138"/>
      <c r="N72" s="138"/>
      <c r="O72" s="138"/>
      <c r="P72" s="138"/>
      <c r="Q72" s="138"/>
      <c r="R72" s="138"/>
      <c r="S72" s="161"/>
      <c r="T72" s="39"/>
    </row>
    <row r="73" spans="1:20" x14ac:dyDescent="0.15">
      <c r="A73" s="39"/>
      <c r="B73" s="244"/>
      <c r="C73" s="244"/>
      <c r="D73" s="55"/>
      <c r="E73" s="55"/>
      <c r="F73" s="138"/>
      <c r="G73" s="138"/>
      <c r="H73" s="138"/>
      <c r="I73" s="138"/>
      <c r="J73" s="138"/>
      <c r="K73" s="138"/>
      <c r="L73" s="138"/>
      <c r="M73" s="138"/>
      <c r="N73" s="138"/>
      <c r="O73" s="138"/>
      <c r="P73" s="138"/>
      <c r="Q73" s="138"/>
      <c r="R73" s="138"/>
      <c r="S73" s="161"/>
      <c r="T73" s="39"/>
    </row>
    <row r="74" spans="1:20" x14ac:dyDescent="0.15">
      <c r="A74" s="39"/>
      <c r="B74" s="245"/>
      <c r="C74" s="245"/>
      <c r="D74" s="61"/>
      <c r="E74" s="61"/>
      <c r="F74" s="139"/>
      <c r="G74" s="139"/>
      <c r="H74" s="139"/>
      <c r="I74" s="139"/>
      <c r="J74" s="139"/>
      <c r="K74" s="139"/>
      <c r="L74" s="139"/>
      <c r="M74" s="139"/>
      <c r="N74" s="139"/>
      <c r="O74" s="139"/>
      <c r="P74" s="139"/>
      <c r="Q74" s="139"/>
      <c r="R74" s="139"/>
      <c r="S74" s="162"/>
      <c r="T74" s="39"/>
    </row>
    <row r="75" spans="1:20" x14ac:dyDescent="0.15">
      <c r="A75" s="39"/>
      <c r="B75" s="246">
        <v>10</v>
      </c>
      <c r="C75" s="243" t="s">
        <v>417</v>
      </c>
      <c r="D75" s="59" t="s">
        <v>686</v>
      </c>
      <c r="E75" s="59" t="s">
        <v>182</v>
      </c>
      <c r="F75" s="59">
        <v>11</v>
      </c>
      <c r="G75" s="59" t="s">
        <v>691</v>
      </c>
      <c r="H75" s="59" t="s">
        <v>693</v>
      </c>
      <c r="I75" s="59" t="s">
        <v>697</v>
      </c>
      <c r="J75" s="59" t="s">
        <v>700</v>
      </c>
      <c r="K75" s="59" t="s">
        <v>704</v>
      </c>
      <c r="L75" s="59" t="s">
        <v>706</v>
      </c>
      <c r="M75" s="59" t="s">
        <v>698</v>
      </c>
      <c r="N75" s="59">
        <v>2</v>
      </c>
      <c r="O75" s="59">
        <v>2</v>
      </c>
      <c r="P75" s="59">
        <v>0</v>
      </c>
      <c r="Q75" s="59">
        <v>1</v>
      </c>
      <c r="R75" s="59">
        <v>3</v>
      </c>
      <c r="S75" s="60" t="s">
        <v>259</v>
      </c>
      <c r="T75" s="39"/>
    </row>
    <row r="76" spans="1:20" x14ac:dyDescent="0.15">
      <c r="A76" s="39"/>
      <c r="B76" s="244"/>
      <c r="C76" s="244"/>
      <c r="D76" s="55" t="s">
        <v>686</v>
      </c>
      <c r="E76" s="55" t="s">
        <v>688</v>
      </c>
      <c r="F76" s="55">
        <v>12</v>
      </c>
      <c r="G76" s="55" t="s">
        <v>692</v>
      </c>
      <c r="H76" s="55" t="s">
        <v>694</v>
      </c>
      <c r="I76" s="55" t="s">
        <v>697</v>
      </c>
      <c r="J76" s="55" t="s">
        <v>701</v>
      </c>
      <c r="K76" s="55" t="s">
        <v>704</v>
      </c>
      <c r="L76" s="55" t="s">
        <v>706</v>
      </c>
      <c r="M76" s="55" t="s">
        <v>706</v>
      </c>
      <c r="N76" s="55">
        <v>0</v>
      </c>
      <c r="O76" s="55">
        <v>0</v>
      </c>
      <c r="P76" s="55">
        <v>1</v>
      </c>
      <c r="Q76" s="55">
        <v>0</v>
      </c>
      <c r="R76" s="55">
        <v>0</v>
      </c>
      <c r="S76" s="56" t="s">
        <v>708</v>
      </c>
      <c r="T76" s="39"/>
    </row>
    <row r="77" spans="1:20" x14ac:dyDescent="0.15">
      <c r="A77" s="39"/>
      <c r="B77" s="244"/>
      <c r="C77" s="244"/>
      <c r="D77" s="55" t="s">
        <v>798</v>
      </c>
      <c r="E77" s="55" t="s">
        <v>689</v>
      </c>
      <c r="F77" s="55">
        <v>11</v>
      </c>
      <c r="G77" s="55" t="s">
        <v>692</v>
      </c>
      <c r="H77" s="55" t="s">
        <v>695</v>
      </c>
      <c r="I77" s="55" t="s">
        <v>698</v>
      </c>
      <c r="J77" s="55" t="s">
        <v>702</v>
      </c>
      <c r="K77" s="55" t="s">
        <v>705</v>
      </c>
      <c r="L77" s="55" t="s">
        <v>706</v>
      </c>
      <c r="M77" s="55" t="s">
        <v>706</v>
      </c>
      <c r="N77" s="55">
        <v>0</v>
      </c>
      <c r="O77" s="55">
        <v>0</v>
      </c>
      <c r="P77" s="55">
        <v>0</v>
      </c>
      <c r="Q77" s="55">
        <v>0</v>
      </c>
      <c r="R77" s="55">
        <v>0</v>
      </c>
      <c r="S77" s="56" t="s">
        <v>708</v>
      </c>
      <c r="T77" s="39"/>
    </row>
    <row r="78" spans="1:20" x14ac:dyDescent="0.15">
      <c r="A78" s="39"/>
      <c r="B78" s="244"/>
      <c r="C78" s="244"/>
      <c r="D78" s="55" t="s">
        <v>687</v>
      </c>
      <c r="E78" s="55" t="s">
        <v>690</v>
      </c>
      <c r="F78" s="55">
        <v>10</v>
      </c>
      <c r="G78" s="55" t="s">
        <v>800</v>
      </c>
      <c r="H78" s="55" t="s">
        <v>696</v>
      </c>
      <c r="I78" s="55" t="s">
        <v>699</v>
      </c>
      <c r="J78" s="55" t="s">
        <v>703</v>
      </c>
      <c r="K78" s="55" t="s">
        <v>698</v>
      </c>
      <c r="L78" s="55" t="s">
        <v>706</v>
      </c>
      <c r="M78" s="55" t="s">
        <v>707</v>
      </c>
      <c r="N78" s="55">
        <v>0</v>
      </c>
      <c r="O78" s="55">
        <v>0</v>
      </c>
      <c r="P78" s="55">
        <v>0</v>
      </c>
      <c r="Q78" s="55">
        <v>0</v>
      </c>
      <c r="R78" s="55">
        <v>0</v>
      </c>
      <c r="S78" s="56" t="s">
        <v>708</v>
      </c>
      <c r="T78" s="39"/>
    </row>
    <row r="79" spans="1:20" x14ac:dyDescent="0.15">
      <c r="A79" s="39"/>
      <c r="B79" s="244"/>
      <c r="C79" s="244"/>
      <c r="D79" s="55"/>
      <c r="E79" s="55"/>
      <c r="F79" s="55"/>
      <c r="G79" s="55"/>
      <c r="H79" s="55"/>
      <c r="I79" s="55"/>
      <c r="J79" s="55"/>
      <c r="K79" s="55"/>
      <c r="L79" s="55"/>
      <c r="M79" s="55"/>
      <c r="N79" s="55"/>
      <c r="O79" s="55"/>
      <c r="P79" s="55"/>
      <c r="Q79" s="55"/>
      <c r="R79" s="55"/>
      <c r="S79" s="56"/>
      <c r="T79" s="39"/>
    </row>
    <row r="80" spans="1:20" x14ac:dyDescent="0.15">
      <c r="A80" s="39"/>
      <c r="B80" s="244"/>
      <c r="C80" s="244"/>
      <c r="D80" s="55"/>
      <c r="E80" s="55"/>
      <c r="F80" s="55"/>
      <c r="G80" s="55"/>
      <c r="H80" s="55"/>
      <c r="I80" s="55"/>
      <c r="J80" s="55"/>
      <c r="K80" s="55"/>
      <c r="L80" s="55"/>
      <c r="M80" s="55"/>
      <c r="N80" s="55"/>
      <c r="O80" s="55"/>
      <c r="P80" s="55"/>
      <c r="Q80" s="55"/>
      <c r="R80" s="55"/>
      <c r="S80" s="56"/>
      <c r="T80" s="39"/>
    </row>
    <row r="81" spans="1:20" x14ac:dyDescent="0.15">
      <c r="A81" s="39"/>
      <c r="B81" s="244"/>
      <c r="C81" s="244"/>
      <c r="D81" s="55"/>
      <c r="E81" s="55"/>
      <c r="F81" s="55"/>
      <c r="G81" s="55"/>
      <c r="H81" s="55"/>
      <c r="I81" s="55"/>
      <c r="J81" s="55"/>
      <c r="K81" s="55"/>
      <c r="L81" s="55"/>
      <c r="M81" s="55"/>
      <c r="N81" s="55"/>
      <c r="O81" s="55"/>
      <c r="P81" s="55"/>
      <c r="Q81" s="55"/>
      <c r="R81" s="55"/>
      <c r="S81" s="56"/>
      <c r="T81" s="39"/>
    </row>
    <row r="82" spans="1:20" x14ac:dyDescent="0.15">
      <c r="A82" s="39"/>
      <c r="B82" s="245"/>
      <c r="C82" s="245"/>
      <c r="D82" s="61"/>
      <c r="E82" s="61"/>
      <c r="F82" s="61"/>
      <c r="G82" s="61"/>
      <c r="H82" s="61"/>
      <c r="I82" s="61"/>
      <c r="J82" s="61"/>
      <c r="K82" s="61"/>
      <c r="L82" s="61"/>
      <c r="M82" s="61"/>
      <c r="N82" s="61"/>
      <c r="O82" s="61"/>
      <c r="P82" s="61"/>
      <c r="Q82" s="61"/>
      <c r="R82" s="61"/>
      <c r="S82" s="62"/>
      <c r="T82" s="39"/>
    </row>
    <row r="83" spans="1:20" x14ac:dyDescent="0.15">
      <c r="A83" s="39"/>
      <c r="B83" s="246">
        <v>11</v>
      </c>
      <c r="C83" s="243" t="s">
        <v>418</v>
      </c>
      <c r="D83" s="59" t="s">
        <v>799</v>
      </c>
      <c r="E83" s="59" t="s">
        <v>182</v>
      </c>
      <c r="F83" s="59">
        <v>11</v>
      </c>
      <c r="G83" s="59" t="s">
        <v>691</v>
      </c>
      <c r="H83" s="59" t="s">
        <v>693</v>
      </c>
      <c r="I83" s="59" t="s">
        <v>697</v>
      </c>
      <c r="J83" s="59" t="s">
        <v>700</v>
      </c>
      <c r="K83" s="59" t="s">
        <v>704</v>
      </c>
      <c r="L83" s="59" t="s">
        <v>473</v>
      </c>
      <c r="M83" s="59" t="s">
        <v>698</v>
      </c>
      <c r="N83" s="59">
        <v>2</v>
      </c>
      <c r="O83" s="59">
        <v>2</v>
      </c>
      <c r="P83" s="59">
        <v>0</v>
      </c>
      <c r="Q83" s="59">
        <v>1</v>
      </c>
      <c r="R83" s="59">
        <v>3</v>
      </c>
      <c r="S83" s="60" t="s">
        <v>259</v>
      </c>
      <c r="T83" s="39"/>
    </row>
    <row r="84" spans="1:20" x14ac:dyDescent="0.15">
      <c r="A84" s="39"/>
      <c r="B84" s="244"/>
      <c r="C84" s="244"/>
      <c r="D84" s="55" t="s">
        <v>799</v>
      </c>
      <c r="E84" s="55" t="s">
        <v>789</v>
      </c>
      <c r="F84" s="55">
        <v>12</v>
      </c>
      <c r="G84" s="55" t="s">
        <v>473</v>
      </c>
      <c r="H84" s="55" t="s">
        <v>694</v>
      </c>
      <c r="I84" s="55" t="s">
        <v>697</v>
      </c>
      <c r="J84" s="55" t="s">
        <v>678</v>
      </c>
      <c r="K84" s="55" t="s">
        <v>704</v>
      </c>
      <c r="L84" s="55" t="s">
        <v>473</v>
      </c>
      <c r="M84" s="55" t="s">
        <v>473</v>
      </c>
      <c r="N84" s="55">
        <v>0</v>
      </c>
      <c r="O84" s="55">
        <v>0</v>
      </c>
      <c r="P84" s="55">
        <v>1</v>
      </c>
      <c r="Q84" s="55">
        <v>0</v>
      </c>
      <c r="R84" s="55">
        <v>0</v>
      </c>
      <c r="S84" s="56" t="s">
        <v>259</v>
      </c>
      <c r="T84" s="39"/>
    </row>
    <row r="85" spans="1:20" x14ac:dyDescent="0.15">
      <c r="A85" s="39"/>
      <c r="B85" s="244"/>
      <c r="C85" s="244"/>
      <c r="D85" s="55" t="s">
        <v>799</v>
      </c>
      <c r="E85" s="55" t="s">
        <v>790</v>
      </c>
      <c r="F85" s="55">
        <v>12</v>
      </c>
      <c r="G85" s="55" t="s">
        <v>473</v>
      </c>
      <c r="H85" s="55" t="s">
        <v>695</v>
      </c>
      <c r="I85" s="55" t="s">
        <v>698</v>
      </c>
      <c r="J85" s="55" t="s">
        <v>702</v>
      </c>
      <c r="K85" s="55" t="s">
        <v>705</v>
      </c>
      <c r="L85" s="55" t="s">
        <v>473</v>
      </c>
      <c r="M85" s="55" t="s">
        <v>473</v>
      </c>
      <c r="N85" s="55">
        <v>0</v>
      </c>
      <c r="O85" s="55">
        <v>0</v>
      </c>
      <c r="P85" s="55">
        <v>0</v>
      </c>
      <c r="Q85" s="55">
        <v>0</v>
      </c>
      <c r="R85" s="55">
        <v>0</v>
      </c>
      <c r="S85" s="56" t="s">
        <v>259</v>
      </c>
      <c r="T85" s="39"/>
    </row>
    <row r="86" spans="1:20" x14ac:dyDescent="0.15">
      <c r="A86" s="39"/>
      <c r="B86" s="244"/>
      <c r="C86" s="244"/>
      <c r="D86" s="55"/>
      <c r="E86" s="55" t="s">
        <v>795</v>
      </c>
      <c r="F86" s="55">
        <v>11</v>
      </c>
      <c r="G86" s="55" t="s">
        <v>473</v>
      </c>
      <c r="H86" s="55" t="s">
        <v>696</v>
      </c>
      <c r="I86" s="55" t="s">
        <v>699</v>
      </c>
      <c r="J86" s="55" t="s">
        <v>703</v>
      </c>
      <c r="K86" s="55" t="s">
        <v>698</v>
      </c>
      <c r="L86" s="55" t="s">
        <v>473</v>
      </c>
      <c r="M86" s="55" t="s">
        <v>707</v>
      </c>
      <c r="N86" s="55">
        <v>0</v>
      </c>
      <c r="O86" s="55">
        <v>0</v>
      </c>
      <c r="P86" s="55">
        <v>0</v>
      </c>
      <c r="Q86" s="55">
        <v>0</v>
      </c>
      <c r="R86" s="55">
        <v>0</v>
      </c>
      <c r="S86" s="56" t="s">
        <v>259</v>
      </c>
      <c r="T86" s="39"/>
    </row>
    <row r="87" spans="1:20" x14ac:dyDescent="0.15">
      <c r="A87" s="39"/>
      <c r="B87" s="244"/>
      <c r="C87" s="244"/>
      <c r="D87" s="55"/>
      <c r="E87" s="55"/>
      <c r="F87" s="55"/>
      <c r="G87" s="55"/>
      <c r="H87" s="55"/>
      <c r="I87" s="55"/>
      <c r="J87" s="55"/>
      <c r="K87" s="55"/>
      <c r="L87" s="55"/>
      <c r="M87" s="55"/>
      <c r="N87" s="55"/>
      <c r="O87" s="55"/>
      <c r="P87" s="55"/>
      <c r="Q87" s="55"/>
      <c r="R87" s="55"/>
      <c r="S87" s="56"/>
      <c r="T87" s="39"/>
    </row>
    <row r="88" spans="1:20" x14ac:dyDescent="0.15">
      <c r="A88" s="39"/>
      <c r="B88" s="244"/>
      <c r="C88" s="244"/>
      <c r="D88" s="55"/>
      <c r="E88" s="55"/>
      <c r="F88" s="55"/>
      <c r="G88" s="55"/>
      <c r="H88" s="55"/>
      <c r="I88" s="55"/>
      <c r="J88" s="55"/>
      <c r="K88" s="55"/>
      <c r="L88" s="55"/>
      <c r="M88" s="55"/>
      <c r="N88" s="55"/>
      <c r="O88" s="55"/>
      <c r="P88" s="55"/>
      <c r="Q88" s="55"/>
      <c r="R88" s="55"/>
      <c r="S88" s="56"/>
      <c r="T88" s="39"/>
    </row>
    <row r="89" spans="1:20" x14ac:dyDescent="0.15">
      <c r="A89" s="39"/>
      <c r="B89" s="244"/>
      <c r="C89" s="244"/>
      <c r="D89" s="55"/>
      <c r="E89" s="55"/>
      <c r="F89" s="55"/>
      <c r="G89" s="55"/>
      <c r="H89" s="55"/>
      <c r="I89" s="55"/>
      <c r="J89" s="55"/>
      <c r="K89" s="55"/>
      <c r="L89" s="55"/>
      <c r="M89" s="55"/>
      <c r="N89" s="55"/>
      <c r="O89" s="55"/>
      <c r="P89" s="55"/>
      <c r="Q89" s="55"/>
      <c r="R89" s="55"/>
      <c r="S89" s="56"/>
      <c r="T89" s="39"/>
    </row>
    <row r="90" spans="1:20" x14ac:dyDescent="0.15">
      <c r="A90" s="39"/>
      <c r="B90" s="245"/>
      <c r="C90" s="245"/>
      <c r="D90" s="61"/>
      <c r="E90" s="61"/>
      <c r="F90" s="61"/>
      <c r="G90" s="61"/>
      <c r="H90" s="61"/>
      <c r="I90" s="61"/>
      <c r="J90" s="61"/>
      <c r="K90" s="61"/>
      <c r="L90" s="61"/>
      <c r="M90" s="61"/>
      <c r="N90" s="61"/>
      <c r="O90" s="61"/>
      <c r="P90" s="61"/>
      <c r="Q90" s="61"/>
      <c r="R90" s="61"/>
      <c r="S90" s="62"/>
      <c r="T90" s="39"/>
    </row>
    <row r="91" spans="1:20" x14ac:dyDescent="0.15">
      <c r="A91" s="39"/>
      <c r="B91" s="246">
        <v>12</v>
      </c>
      <c r="C91" s="243" t="s">
        <v>419</v>
      </c>
      <c r="D91" s="59" t="s">
        <v>801</v>
      </c>
      <c r="E91" s="59" t="s">
        <v>802</v>
      </c>
      <c r="F91" s="59">
        <v>12</v>
      </c>
      <c r="G91" s="59" t="s">
        <v>605</v>
      </c>
      <c r="H91" s="59" t="s">
        <v>881</v>
      </c>
      <c r="I91" s="59" t="s">
        <v>886</v>
      </c>
      <c r="J91" s="59" t="s">
        <v>891</v>
      </c>
      <c r="K91" s="59" t="s">
        <v>704</v>
      </c>
      <c r="L91" s="59" t="s">
        <v>886</v>
      </c>
      <c r="M91" s="59" t="s">
        <v>886</v>
      </c>
      <c r="N91" s="59">
        <v>0</v>
      </c>
      <c r="O91" s="59">
        <v>0</v>
      </c>
      <c r="P91" s="59">
        <v>0</v>
      </c>
      <c r="Q91" s="59">
        <v>0</v>
      </c>
      <c r="R91" s="59">
        <v>0</v>
      </c>
      <c r="S91" s="60" t="s">
        <v>259</v>
      </c>
      <c r="T91" s="39"/>
    </row>
    <row r="92" spans="1:20" x14ac:dyDescent="0.15">
      <c r="A92" s="39"/>
      <c r="B92" s="244"/>
      <c r="C92" s="244"/>
      <c r="D92" s="55"/>
      <c r="E92" s="55"/>
      <c r="F92" s="55"/>
      <c r="G92" s="55"/>
      <c r="H92" s="55"/>
      <c r="I92" s="55"/>
      <c r="J92" s="55"/>
      <c r="K92" s="55"/>
      <c r="L92" s="55"/>
      <c r="M92" s="55"/>
      <c r="N92" s="55"/>
      <c r="O92" s="55"/>
      <c r="P92" s="55"/>
      <c r="Q92" s="55"/>
      <c r="R92" s="55"/>
      <c r="S92" s="56"/>
      <c r="T92" s="39"/>
    </row>
    <row r="93" spans="1:20" x14ac:dyDescent="0.15">
      <c r="A93" s="39"/>
      <c r="B93" s="244"/>
      <c r="C93" s="244"/>
      <c r="D93" s="55"/>
      <c r="E93" s="55"/>
      <c r="F93" s="55"/>
      <c r="G93" s="55"/>
      <c r="H93" s="55"/>
      <c r="I93" s="55"/>
      <c r="J93" s="55"/>
      <c r="K93" s="55"/>
      <c r="L93" s="55"/>
      <c r="M93" s="55"/>
      <c r="N93" s="55"/>
      <c r="O93" s="55"/>
      <c r="P93" s="55"/>
      <c r="Q93" s="55"/>
      <c r="R93" s="55"/>
      <c r="S93" s="56"/>
      <c r="T93" s="39"/>
    </row>
    <row r="94" spans="1:20" x14ac:dyDescent="0.15">
      <c r="A94" s="39"/>
      <c r="B94" s="244"/>
      <c r="C94" s="244"/>
      <c r="D94" s="55"/>
      <c r="E94" s="55"/>
      <c r="F94" s="55"/>
      <c r="G94" s="55"/>
      <c r="H94" s="55"/>
      <c r="I94" s="55"/>
      <c r="J94" s="55"/>
      <c r="K94" s="55"/>
      <c r="L94" s="55"/>
      <c r="M94" s="55"/>
      <c r="N94" s="55"/>
      <c r="O94" s="55"/>
      <c r="P94" s="55"/>
      <c r="Q94" s="55"/>
      <c r="R94" s="55"/>
      <c r="S94" s="56"/>
      <c r="T94" s="39"/>
    </row>
    <row r="95" spans="1:20" x14ac:dyDescent="0.15">
      <c r="A95" s="39"/>
      <c r="B95" s="244"/>
      <c r="C95" s="244"/>
      <c r="D95" s="55"/>
      <c r="E95" s="55"/>
      <c r="F95" s="55"/>
      <c r="G95" s="55"/>
      <c r="H95" s="55"/>
      <c r="I95" s="55"/>
      <c r="J95" s="55"/>
      <c r="K95" s="55"/>
      <c r="L95" s="55"/>
      <c r="M95" s="55"/>
      <c r="N95" s="55"/>
      <c r="O95" s="55"/>
      <c r="P95" s="55"/>
      <c r="Q95" s="55"/>
      <c r="R95" s="55"/>
      <c r="S95" s="56"/>
      <c r="T95" s="39"/>
    </row>
    <row r="96" spans="1:20" x14ac:dyDescent="0.15">
      <c r="A96" s="39"/>
      <c r="B96" s="244"/>
      <c r="C96" s="244"/>
      <c r="D96" s="55"/>
      <c r="E96" s="55"/>
      <c r="F96" s="55"/>
      <c r="G96" s="55"/>
      <c r="H96" s="55"/>
      <c r="I96" s="55"/>
      <c r="J96" s="55"/>
      <c r="K96" s="55"/>
      <c r="L96" s="55"/>
      <c r="M96" s="55"/>
      <c r="N96" s="55"/>
      <c r="O96" s="55"/>
      <c r="P96" s="55"/>
      <c r="Q96" s="55"/>
      <c r="R96" s="55"/>
      <c r="S96" s="56"/>
      <c r="T96" s="39"/>
    </row>
    <row r="97" spans="1:20" x14ac:dyDescent="0.15">
      <c r="A97" s="39"/>
      <c r="B97" s="244"/>
      <c r="C97" s="244"/>
      <c r="D97" s="55"/>
      <c r="E97" s="55"/>
      <c r="F97" s="55"/>
      <c r="G97" s="55"/>
      <c r="H97" s="55"/>
      <c r="I97" s="55"/>
      <c r="J97" s="55"/>
      <c r="K97" s="55"/>
      <c r="L97" s="55"/>
      <c r="M97" s="55"/>
      <c r="N97" s="55"/>
      <c r="O97" s="55"/>
      <c r="P97" s="55"/>
      <c r="Q97" s="55"/>
      <c r="R97" s="55"/>
      <c r="S97" s="56"/>
      <c r="T97" s="39"/>
    </row>
    <row r="98" spans="1:20" x14ac:dyDescent="0.15">
      <c r="A98" s="39"/>
      <c r="B98" s="245"/>
      <c r="C98" s="245"/>
      <c r="D98" s="61"/>
      <c r="E98" s="61"/>
      <c r="F98" s="61"/>
      <c r="G98" s="61"/>
      <c r="H98" s="61"/>
      <c r="I98" s="61"/>
      <c r="J98" s="61"/>
      <c r="K98" s="61"/>
      <c r="L98" s="61"/>
      <c r="M98" s="61"/>
      <c r="N98" s="61"/>
      <c r="O98" s="61"/>
      <c r="P98" s="61"/>
      <c r="Q98" s="61"/>
      <c r="R98" s="61"/>
      <c r="S98" s="62"/>
      <c r="T98" s="39"/>
    </row>
    <row r="99" spans="1:20" x14ac:dyDescent="0.15">
      <c r="A99" s="39"/>
      <c r="B99" s="246">
        <v>13</v>
      </c>
      <c r="C99" s="243" t="s">
        <v>420</v>
      </c>
      <c r="D99" s="59" t="s">
        <v>779</v>
      </c>
      <c r="E99" s="59" t="s">
        <v>182</v>
      </c>
      <c r="F99" s="59">
        <v>12</v>
      </c>
      <c r="G99" s="59" t="s">
        <v>605</v>
      </c>
      <c r="H99" s="59" t="s">
        <v>892</v>
      </c>
      <c r="I99" s="59" t="s">
        <v>893</v>
      </c>
      <c r="J99" s="59" t="s">
        <v>894</v>
      </c>
      <c r="K99" s="59" t="s">
        <v>704</v>
      </c>
      <c r="L99" s="59" t="s">
        <v>605</v>
      </c>
      <c r="M99" s="59" t="s">
        <v>605</v>
      </c>
      <c r="N99" s="59">
        <v>2</v>
      </c>
      <c r="O99" s="59">
        <v>2</v>
      </c>
      <c r="P99" s="59">
        <v>0</v>
      </c>
      <c r="Q99" s="59">
        <v>1</v>
      </c>
      <c r="R99" s="59">
        <v>3</v>
      </c>
      <c r="S99" s="60" t="s">
        <v>380</v>
      </c>
      <c r="T99" s="39"/>
    </row>
    <row r="100" spans="1:20" x14ac:dyDescent="0.15">
      <c r="A100" s="39"/>
      <c r="B100" s="244"/>
      <c r="C100" s="244"/>
      <c r="D100" s="55" t="s">
        <v>791</v>
      </c>
      <c r="E100" s="55" t="s">
        <v>806</v>
      </c>
      <c r="F100" s="55">
        <v>15</v>
      </c>
      <c r="G100" s="55" t="s">
        <v>895</v>
      </c>
      <c r="H100" s="55" t="s">
        <v>889</v>
      </c>
      <c r="I100" s="55" t="s">
        <v>893</v>
      </c>
      <c r="J100" s="55" t="s">
        <v>894</v>
      </c>
      <c r="K100" s="55" t="s">
        <v>886</v>
      </c>
      <c r="L100" s="55" t="s">
        <v>605</v>
      </c>
      <c r="M100" s="55" t="s">
        <v>605</v>
      </c>
      <c r="N100" s="55">
        <v>0</v>
      </c>
      <c r="O100" s="55">
        <v>0</v>
      </c>
      <c r="P100" s="55">
        <v>0</v>
      </c>
      <c r="Q100" s="55">
        <v>0</v>
      </c>
      <c r="R100" s="55">
        <v>0</v>
      </c>
      <c r="S100" s="56" t="s">
        <v>870</v>
      </c>
      <c r="T100" s="39"/>
    </row>
    <row r="101" spans="1:20" x14ac:dyDescent="0.15">
      <c r="A101" s="39"/>
      <c r="B101" s="244"/>
      <c r="C101" s="244"/>
      <c r="D101" s="55" t="s">
        <v>803</v>
      </c>
      <c r="E101" s="55"/>
      <c r="F101" s="55"/>
      <c r="G101" s="55"/>
      <c r="H101" s="55"/>
      <c r="I101" s="55"/>
      <c r="J101" s="55"/>
      <c r="K101" s="55"/>
      <c r="L101" s="55"/>
      <c r="M101" s="55"/>
      <c r="N101" s="55"/>
      <c r="O101" s="55"/>
      <c r="P101" s="55"/>
      <c r="Q101" s="55"/>
      <c r="R101" s="55"/>
      <c r="S101" s="56"/>
      <c r="T101" s="39"/>
    </row>
    <row r="102" spans="1:20" x14ac:dyDescent="0.15">
      <c r="A102" s="39"/>
      <c r="B102" s="244"/>
      <c r="C102" s="244"/>
      <c r="D102" s="55" t="s">
        <v>804</v>
      </c>
      <c r="E102" s="55"/>
      <c r="F102" s="55"/>
      <c r="G102" s="55"/>
      <c r="H102" s="55"/>
      <c r="I102" s="55"/>
      <c r="J102" s="55"/>
      <c r="K102" s="55"/>
      <c r="L102" s="55"/>
      <c r="M102" s="55"/>
      <c r="N102" s="55"/>
      <c r="O102" s="55"/>
      <c r="P102" s="55"/>
      <c r="Q102" s="55"/>
      <c r="R102" s="55"/>
      <c r="S102" s="56"/>
      <c r="T102" s="39"/>
    </row>
    <row r="103" spans="1:20" x14ac:dyDescent="0.15">
      <c r="A103" s="39"/>
      <c r="B103" s="244"/>
      <c r="C103" s="244"/>
      <c r="D103" s="55" t="s">
        <v>780</v>
      </c>
      <c r="E103" s="55"/>
      <c r="F103" s="55"/>
      <c r="G103" s="55"/>
      <c r="H103" s="55"/>
      <c r="I103" s="55"/>
      <c r="J103" s="55"/>
      <c r="K103" s="55"/>
      <c r="L103" s="55"/>
      <c r="M103" s="55"/>
      <c r="N103" s="55"/>
      <c r="O103" s="55"/>
      <c r="P103" s="55"/>
      <c r="Q103" s="55"/>
      <c r="R103" s="55"/>
      <c r="S103" s="56"/>
      <c r="T103" s="39"/>
    </row>
    <row r="104" spans="1:20" x14ac:dyDescent="0.15">
      <c r="A104" s="39"/>
      <c r="B104" s="244"/>
      <c r="C104" s="244"/>
      <c r="D104" s="55" t="s">
        <v>792</v>
      </c>
      <c r="E104" s="55"/>
      <c r="F104" s="55"/>
      <c r="G104" s="55"/>
      <c r="H104" s="55"/>
      <c r="I104" s="55"/>
      <c r="J104" s="55"/>
      <c r="K104" s="55"/>
      <c r="L104" s="55"/>
      <c r="M104" s="55"/>
      <c r="N104" s="55"/>
      <c r="O104" s="55"/>
      <c r="P104" s="55"/>
      <c r="Q104" s="55"/>
      <c r="R104" s="55"/>
      <c r="S104" s="56"/>
      <c r="T104" s="39"/>
    </row>
    <row r="105" spans="1:20" x14ac:dyDescent="0.15">
      <c r="A105" s="39"/>
      <c r="B105" s="244"/>
      <c r="C105" s="244"/>
      <c r="D105" s="55"/>
      <c r="E105" s="55"/>
      <c r="F105" s="55"/>
      <c r="G105" s="55"/>
      <c r="H105" s="55"/>
      <c r="I105" s="55"/>
      <c r="J105" s="55"/>
      <c r="K105" s="55"/>
      <c r="L105" s="55"/>
      <c r="M105" s="55"/>
      <c r="N105" s="55"/>
      <c r="O105" s="55"/>
      <c r="P105" s="55"/>
      <c r="Q105" s="55"/>
      <c r="R105" s="55"/>
      <c r="S105" s="56"/>
      <c r="T105" s="39"/>
    </row>
    <row r="106" spans="1:20" x14ac:dyDescent="0.15">
      <c r="A106" s="39"/>
      <c r="B106" s="245"/>
      <c r="C106" s="245"/>
      <c r="D106" s="61"/>
      <c r="E106" s="61"/>
      <c r="F106" s="61"/>
      <c r="G106" s="61"/>
      <c r="H106" s="61"/>
      <c r="I106" s="61"/>
      <c r="J106" s="61"/>
      <c r="K106" s="61"/>
      <c r="L106" s="61"/>
      <c r="M106" s="61"/>
      <c r="N106" s="61"/>
      <c r="O106" s="61"/>
      <c r="P106" s="61"/>
      <c r="Q106" s="61"/>
      <c r="R106" s="61"/>
      <c r="S106" s="62"/>
      <c r="T106" s="39"/>
    </row>
    <row r="107" spans="1:20" x14ac:dyDescent="0.15">
      <c r="A107" s="39"/>
      <c r="B107" s="246">
        <v>14</v>
      </c>
      <c r="C107" s="243" t="s">
        <v>421</v>
      </c>
      <c r="D107" s="59" t="s">
        <v>779</v>
      </c>
      <c r="E107" s="59" t="s">
        <v>182</v>
      </c>
      <c r="F107" s="59">
        <v>12</v>
      </c>
      <c r="G107" s="59" t="s">
        <v>605</v>
      </c>
      <c r="H107" s="59" t="s">
        <v>892</v>
      </c>
      <c r="I107" s="59" t="s">
        <v>893</v>
      </c>
      <c r="J107" s="59" t="s">
        <v>894</v>
      </c>
      <c r="K107" s="59" t="s">
        <v>704</v>
      </c>
      <c r="L107" s="59" t="s">
        <v>605</v>
      </c>
      <c r="M107" s="59" t="s">
        <v>605</v>
      </c>
      <c r="N107" s="59">
        <v>2</v>
      </c>
      <c r="O107" s="59">
        <v>2</v>
      </c>
      <c r="P107" s="59">
        <v>0</v>
      </c>
      <c r="Q107" s="59">
        <v>1</v>
      </c>
      <c r="R107" s="59">
        <v>3</v>
      </c>
      <c r="S107" s="60" t="s">
        <v>380</v>
      </c>
      <c r="T107" s="39"/>
    </row>
    <row r="108" spans="1:20" x14ac:dyDescent="0.15">
      <c r="A108" s="39"/>
      <c r="B108" s="244"/>
      <c r="C108" s="244"/>
      <c r="D108" s="55" t="s">
        <v>791</v>
      </c>
      <c r="E108" s="55" t="s">
        <v>806</v>
      </c>
      <c r="F108" s="55">
        <v>15</v>
      </c>
      <c r="G108" s="55" t="s">
        <v>895</v>
      </c>
      <c r="H108" s="55" t="s">
        <v>889</v>
      </c>
      <c r="I108" s="55" t="s">
        <v>893</v>
      </c>
      <c r="J108" s="55" t="s">
        <v>894</v>
      </c>
      <c r="K108" s="55" t="s">
        <v>886</v>
      </c>
      <c r="L108" s="55" t="s">
        <v>605</v>
      </c>
      <c r="M108" s="55" t="s">
        <v>605</v>
      </c>
      <c r="N108" s="55">
        <v>0</v>
      </c>
      <c r="O108" s="55">
        <v>0</v>
      </c>
      <c r="P108" s="55">
        <v>0</v>
      </c>
      <c r="Q108" s="55">
        <v>0</v>
      </c>
      <c r="R108" s="55">
        <v>0</v>
      </c>
      <c r="S108" s="56" t="s">
        <v>870</v>
      </c>
      <c r="T108" s="39"/>
    </row>
    <row r="109" spans="1:20" x14ac:dyDescent="0.15">
      <c r="A109" s="39"/>
      <c r="B109" s="244"/>
      <c r="C109" s="244"/>
      <c r="D109" s="55" t="s">
        <v>803</v>
      </c>
      <c r="E109" s="55"/>
      <c r="F109" s="55"/>
      <c r="G109" s="55"/>
      <c r="H109" s="55"/>
      <c r="I109" s="55"/>
      <c r="J109" s="55"/>
      <c r="K109" s="55"/>
      <c r="L109" s="55"/>
      <c r="M109" s="55"/>
      <c r="N109" s="55"/>
      <c r="O109" s="55"/>
      <c r="P109" s="55"/>
      <c r="Q109" s="55"/>
      <c r="R109" s="55"/>
      <c r="S109" s="56"/>
      <c r="T109" s="39"/>
    </row>
    <row r="110" spans="1:20" x14ac:dyDescent="0.15">
      <c r="A110" s="39"/>
      <c r="B110" s="244"/>
      <c r="C110" s="244"/>
      <c r="D110" s="55" t="s">
        <v>804</v>
      </c>
      <c r="E110" s="55"/>
      <c r="F110" s="55"/>
      <c r="G110" s="55"/>
      <c r="H110" s="55"/>
      <c r="I110" s="55"/>
      <c r="J110" s="55"/>
      <c r="K110" s="55"/>
      <c r="L110" s="55"/>
      <c r="M110" s="55"/>
      <c r="N110" s="55"/>
      <c r="O110" s="55"/>
      <c r="P110" s="55"/>
      <c r="Q110" s="55"/>
      <c r="R110" s="55"/>
      <c r="S110" s="56"/>
      <c r="T110" s="39"/>
    </row>
    <row r="111" spans="1:20" x14ac:dyDescent="0.15">
      <c r="A111" s="39"/>
      <c r="B111" s="244"/>
      <c r="C111" s="244"/>
      <c r="D111" s="55" t="s">
        <v>780</v>
      </c>
      <c r="E111" s="55"/>
      <c r="F111" s="55"/>
      <c r="G111" s="55"/>
      <c r="H111" s="55"/>
      <c r="I111" s="55"/>
      <c r="J111" s="55"/>
      <c r="K111" s="55"/>
      <c r="L111" s="55"/>
      <c r="M111" s="55"/>
      <c r="N111" s="55"/>
      <c r="O111" s="55"/>
      <c r="P111" s="55"/>
      <c r="Q111" s="55"/>
      <c r="R111" s="55"/>
      <c r="S111" s="56"/>
      <c r="T111" s="39"/>
    </row>
    <row r="112" spans="1:20" x14ac:dyDescent="0.15">
      <c r="A112" s="39"/>
      <c r="B112" s="244"/>
      <c r="C112" s="244"/>
      <c r="D112" s="55" t="s">
        <v>792</v>
      </c>
      <c r="E112" s="55"/>
      <c r="F112" s="55"/>
      <c r="G112" s="55"/>
      <c r="H112" s="55"/>
      <c r="I112" s="55"/>
      <c r="J112" s="55"/>
      <c r="K112" s="55"/>
      <c r="L112" s="55"/>
      <c r="M112" s="55"/>
      <c r="N112" s="55"/>
      <c r="O112" s="55"/>
      <c r="P112" s="55"/>
      <c r="Q112" s="55"/>
      <c r="R112" s="55"/>
      <c r="S112" s="56"/>
      <c r="T112" s="39"/>
    </row>
    <row r="113" spans="1:20" x14ac:dyDescent="0.15">
      <c r="A113" s="39"/>
      <c r="B113" s="244"/>
      <c r="C113" s="244"/>
      <c r="D113" s="55"/>
      <c r="E113" s="55"/>
      <c r="F113" s="55"/>
      <c r="G113" s="55"/>
      <c r="H113" s="55"/>
      <c r="I113" s="55"/>
      <c r="J113" s="55"/>
      <c r="K113" s="55"/>
      <c r="L113" s="55"/>
      <c r="M113" s="55"/>
      <c r="N113" s="55"/>
      <c r="O113" s="55"/>
      <c r="P113" s="55"/>
      <c r="Q113" s="55"/>
      <c r="R113" s="55"/>
      <c r="S113" s="56"/>
      <c r="T113" s="39"/>
    </row>
    <row r="114" spans="1:20" x14ac:dyDescent="0.15">
      <c r="A114" s="39"/>
      <c r="B114" s="245"/>
      <c r="C114" s="245"/>
      <c r="D114" s="61"/>
      <c r="E114" s="61"/>
      <c r="F114" s="61"/>
      <c r="G114" s="61"/>
      <c r="H114" s="61"/>
      <c r="I114" s="61"/>
      <c r="J114" s="61"/>
      <c r="K114" s="61"/>
      <c r="L114" s="61"/>
      <c r="M114" s="61"/>
      <c r="N114" s="61"/>
      <c r="O114" s="61"/>
      <c r="P114" s="61"/>
      <c r="Q114" s="61"/>
      <c r="R114" s="61"/>
      <c r="S114" s="62"/>
      <c r="T114" s="39"/>
    </row>
    <row r="115" spans="1:20" x14ac:dyDescent="0.15">
      <c r="A115" s="39"/>
      <c r="B115" s="246">
        <v>15</v>
      </c>
      <c r="C115" s="243" t="s">
        <v>422</v>
      </c>
      <c r="D115" s="59" t="s">
        <v>805</v>
      </c>
      <c r="E115" s="59" t="s">
        <v>807</v>
      </c>
      <c r="F115" s="59">
        <v>14</v>
      </c>
      <c r="G115" s="59" t="s">
        <v>896</v>
      </c>
      <c r="H115" s="59" t="s">
        <v>889</v>
      </c>
      <c r="I115" s="59" t="s">
        <v>893</v>
      </c>
      <c r="J115" s="59" t="s">
        <v>888</v>
      </c>
      <c r="K115" s="59" t="s">
        <v>704</v>
      </c>
      <c r="L115" s="59" t="s">
        <v>605</v>
      </c>
      <c r="M115" s="59" t="s">
        <v>605</v>
      </c>
      <c r="N115" s="59">
        <v>1</v>
      </c>
      <c r="O115" s="59">
        <v>0</v>
      </c>
      <c r="P115" s="59">
        <v>1</v>
      </c>
      <c r="Q115" s="59">
        <v>0</v>
      </c>
      <c r="R115" s="59">
        <v>0</v>
      </c>
      <c r="S115" s="60" t="s">
        <v>377</v>
      </c>
      <c r="T115" s="39"/>
    </row>
    <row r="116" spans="1:20" x14ac:dyDescent="0.15">
      <c r="A116" s="39"/>
      <c r="B116" s="244"/>
      <c r="C116" s="244"/>
      <c r="D116" s="55" t="s">
        <v>805</v>
      </c>
      <c r="E116" s="55" t="s">
        <v>806</v>
      </c>
      <c r="F116" s="55">
        <v>15</v>
      </c>
      <c r="G116" s="55" t="s">
        <v>897</v>
      </c>
      <c r="H116" s="55" t="s">
        <v>889</v>
      </c>
      <c r="I116" s="55" t="s">
        <v>893</v>
      </c>
      <c r="J116" s="55" t="s">
        <v>888</v>
      </c>
      <c r="K116" s="55" t="s">
        <v>605</v>
      </c>
      <c r="L116" s="55" t="s">
        <v>605</v>
      </c>
      <c r="M116" s="55" t="s">
        <v>605</v>
      </c>
      <c r="N116" s="55">
        <v>0</v>
      </c>
      <c r="O116" s="55">
        <v>0</v>
      </c>
      <c r="P116" s="55">
        <v>0</v>
      </c>
      <c r="Q116" s="55">
        <v>0</v>
      </c>
      <c r="R116" s="55">
        <v>0</v>
      </c>
      <c r="S116" s="56" t="s">
        <v>870</v>
      </c>
      <c r="T116" s="39"/>
    </row>
    <row r="117" spans="1:20" x14ac:dyDescent="0.15">
      <c r="A117" s="39"/>
      <c r="B117" s="244"/>
      <c r="C117" s="244"/>
      <c r="D117" s="55" t="s">
        <v>805</v>
      </c>
      <c r="E117" s="55" t="s">
        <v>808</v>
      </c>
      <c r="F117" s="55">
        <v>13</v>
      </c>
      <c r="G117" s="55" t="s">
        <v>605</v>
      </c>
      <c r="H117" s="55" t="s">
        <v>892</v>
      </c>
      <c r="I117" s="55" t="s">
        <v>893</v>
      </c>
      <c r="J117" s="55" t="s">
        <v>894</v>
      </c>
      <c r="K117" s="55" t="s">
        <v>704</v>
      </c>
      <c r="L117" s="55" t="s">
        <v>605</v>
      </c>
      <c r="M117" s="55" t="s">
        <v>605</v>
      </c>
      <c r="N117" s="55">
        <v>2</v>
      </c>
      <c r="O117" s="55">
        <v>2</v>
      </c>
      <c r="P117" s="55">
        <v>0</v>
      </c>
      <c r="Q117" s="55">
        <v>1</v>
      </c>
      <c r="R117" s="55">
        <v>3</v>
      </c>
      <c r="S117" s="56" t="s">
        <v>869</v>
      </c>
      <c r="T117" s="39"/>
    </row>
    <row r="118" spans="1:20" x14ac:dyDescent="0.15">
      <c r="A118" s="39"/>
      <c r="B118" s="244"/>
      <c r="C118" s="244"/>
      <c r="D118" s="55"/>
      <c r="E118" s="55" t="s">
        <v>790</v>
      </c>
      <c r="F118" s="55">
        <v>13</v>
      </c>
      <c r="G118" s="55" t="s">
        <v>898</v>
      </c>
      <c r="H118" s="55" t="s">
        <v>881</v>
      </c>
      <c r="I118" s="55" t="s">
        <v>605</v>
      </c>
      <c r="J118" s="55" t="s">
        <v>891</v>
      </c>
      <c r="K118" s="55" t="s">
        <v>605</v>
      </c>
      <c r="L118" s="55" t="s">
        <v>605</v>
      </c>
      <c r="M118" s="55" t="s">
        <v>904</v>
      </c>
      <c r="N118" s="55">
        <v>0</v>
      </c>
      <c r="O118" s="55">
        <v>0</v>
      </c>
      <c r="P118" s="55">
        <v>0</v>
      </c>
      <c r="Q118" s="55">
        <v>0</v>
      </c>
      <c r="R118" s="55">
        <v>0</v>
      </c>
      <c r="S118" s="56" t="s">
        <v>869</v>
      </c>
      <c r="T118" s="39"/>
    </row>
    <row r="119" spans="1:20" x14ac:dyDescent="0.15">
      <c r="A119" s="39"/>
      <c r="B119" s="244"/>
      <c r="C119" s="244"/>
      <c r="D119" s="55"/>
      <c r="E119" s="55"/>
      <c r="F119" s="55"/>
      <c r="G119" s="55"/>
      <c r="H119" s="55"/>
      <c r="I119" s="55"/>
      <c r="J119" s="55"/>
      <c r="K119" s="55"/>
      <c r="L119" s="55"/>
      <c r="M119" s="55"/>
      <c r="N119" s="55"/>
      <c r="O119" s="55"/>
      <c r="P119" s="55"/>
      <c r="Q119" s="55"/>
      <c r="R119" s="55"/>
      <c r="S119" s="56"/>
      <c r="T119" s="39"/>
    </row>
    <row r="120" spans="1:20" x14ac:dyDescent="0.15">
      <c r="A120" s="39"/>
      <c r="B120" s="244"/>
      <c r="C120" s="244"/>
      <c r="D120" s="55"/>
      <c r="E120" s="55"/>
      <c r="F120" s="55"/>
      <c r="G120" s="55"/>
      <c r="H120" s="55"/>
      <c r="I120" s="55"/>
      <c r="J120" s="55"/>
      <c r="K120" s="55"/>
      <c r="L120" s="55"/>
      <c r="M120" s="55"/>
      <c r="N120" s="55"/>
      <c r="O120" s="55"/>
      <c r="P120" s="55"/>
      <c r="Q120" s="55"/>
      <c r="R120" s="55"/>
      <c r="S120" s="56"/>
      <c r="T120" s="39"/>
    </row>
    <row r="121" spans="1:20" x14ac:dyDescent="0.15">
      <c r="A121" s="39"/>
      <c r="B121" s="244"/>
      <c r="C121" s="244"/>
      <c r="D121" s="55"/>
      <c r="E121" s="55"/>
      <c r="F121" s="55"/>
      <c r="G121" s="55"/>
      <c r="H121" s="55"/>
      <c r="I121" s="55"/>
      <c r="J121" s="55"/>
      <c r="K121" s="55"/>
      <c r="L121" s="55"/>
      <c r="M121" s="55"/>
      <c r="N121" s="55"/>
      <c r="O121" s="55"/>
      <c r="P121" s="55"/>
      <c r="Q121" s="55"/>
      <c r="R121" s="55"/>
      <c r="S121" s="56"/>
      <c r="T121" s="39"/>
    </row>
    <row r="122" spans="1:20" x14ac:dyDescent="0.15">
      <c r="A122" s="39"/>
      <c r="B122" s="245"/>
      <c r="C122" s="245"/>
      <c r="D122" s="61"/>
      <c r="E122" s="61"/>
      <c r="F122" s="61"/>
      <c r="G122" s="61"/>
      <c r="H122" s="61"/>
      <c r="I122" s="61"/>
      <c r="J122" s="61"/>
      <c r="K122" s="61"/>
      <c r="L122" s="61"/>
      <c r="M122" s="61"/>
      <c r="N122" s="61"/>
      <c r="O122" s="61"/>
      <c r="P122" s="61"/>
      <c r="Q122" s="61"/>
      <c r="R122" s="61"/>
      <c r="S122" s="62"/>
      <c r="T122" s="39"/>
    </row>
    <row r="123" spans="1:20" x14ac:dyDescent="0.15">
      <c r="A123" s="39"/>
      <c r="B123" s="246">
        <v>16</v>
      </c>
      <c r="C123" s="243" t="s">
        <v>423</v>
      </c>
      <c r="D123" s="59" t="s">
        <v>809</v>
      </c>
      <c r="E123" s="59" t="s">
        <v>807</v>
      </c>
      <c r="F123" s="59">
        <v>14</v>
      </c>
      <c r="G123" s="59" t="s">
        <v>896</v>
      </c>
      <c r="H123" s="59" t="s">
        <v>889</v>
      </c>
      <c r="I123" s="59" t="s">
        <v>893</v>
      </c>
      <c r="J123" s="59" t="s">
        <v>888</v>
      </c>
      <c r="K123" s="59" t="s">
        <v>704</v>
      </c>
      <c r="L123" s="59" t="s">
        <v>605</v>
      </c>
      <c r="M123" s="59" t="s">
        <v>605</v>
      </c>
      <c r="N123" s="59">
        <v>1</v>
      </c>
      <c r="O123" s="59">
        <v>0</v>
      </c>
      <c r="P123" s="59">
        <v>1</v>
      </c>
      <c r="Q123" s="59">
        <v>0</v>
      </c>
      <c r="R123" s="59">
        <v>0</v>
      </c>
      <c r="S123" s="60" t="s">
        <v>377</v>
      </c>
      <c r="T123" s="39"/>
    </row>
    <row r="124" spans="1:20" x14ac:dyDescent="0.15">
      <c r="A124" s="39"/>
      <c r="B124" s="244"/>
      <c r="C124" s="244"/>
      <c r="D124" s="55" t="s">
        <v>809</v>
      </c>
      <c r="E124" s="55" t="s">
        <v>806</v>
      </c>
      <c r="F124" s="55">
        <v>15</v>
      </c>
      <c r="G124" s="55" t="s">
        <v>897</v>
      </c>
      <c r="H124" s="55" t="s">
        <v>889</v>
      </c>
      <c r="I124" s="55" t="s">
        <v>893</v>
      </c>
      <c r="J124" s="55" t="s">
        <v>888</v>
      </c>
      <c r="K124" s="55" t="s">
        <v>605</v>
      </c>
      <c r="L124" s="55" t="s">
        <v>605</v>
      </c>
      <c r="M124" s="55" t="s">
        <v>605</v>
      </c>
      <c r="N124" s="55">
        <v>0</v>
      </c>
      <c r="O124" s="55">
        <v>0</v>
      </c>
      <c r="P124" s="55">
        <v>0</v>
      </c>
      <c r="Q124" s="55">
        <v>0</v>
      </c>
      <c r="R124" s="55">
        <v>0</v>
      </c>
      <c r="S124" s="56" t="s">
        <v>870</v>
      </c>
      <c r="T124" s="39"/>
    </row>
    <row r="125" spans="1:20" x14ac:dyDescent="0.15">
      <c r="A125" s="39"/>
      <c r="B125" s="244"/>
      <c r="C125" s="244"/>
      <c r="D125" s="55" t="s">
        <v>809</v>
      </c>
      <c r="E125" s="55" t="s">
        <v>808</v>
      </c>
      <c r="F125" s="55">
        <v>13</v>
      </c>
      <c r="G125" s="55" t="s">
        <v>605</v>
      </c>
      <c r="H125" s="55" t="s">
        <v>892</v>
      </c>
      <c r="I125" s="55" t="s">
        <v>893</v>
      </c>
      <c r="J125" s="55" t="s">
        <v>894</v>
      </c>
      <c r="K125" s="55" t="s">
        <v>704</v>
      </c>
      <c r="L125" s="55" t="s">
        <v>605</v>
      </c>
      <c r="M125" s="55" t="s">
        <v>605</v>
      </c>
      <c r="N125" s="55">
        <v>2</v>
      </c>
      <c r="O125" s="55">
        <v>2</v>
      </c>
      <c r="P125" s="55">
        <v>0</v>
      </c>
      <c r="Q125" s="55">
        <v>1</v>
      </c>
      <c r="R125" s="55">
        <v>3</v>
      </c>
      <c r="S125" s="56" t="s">
        <v>869</v>
      </c>
      <c r="T125" s="39"/>
    </row>
    <row r="126" spans="1:20" x14ac:dyDescent="0.15">
      <c r="A126" s="39"/>
      <c r="B126" s="244"/>
      <c r="C126" s="244"/>
      <c r="D126" s="55" t="s">
        <v>810</v>
      </c>
      <c r="E126" s="55" t="s">
        <v>790</v>
      </c>
      <c r="F126" s="55">
        <v>13</v>
      </c>
      <c r="G126" s="55" t="s">
        <v>898</v>
      </c>
      <c r="H126" s="55" t="s">
        <v>881</v>
      </c>
      <c r="I126" s="55" t="s">
        <v>605</v>
      </c>
      <c r="J126" s="55" t="s">
        <v>891</v>
      </c>
      <c r="K126" s="55" t="s">
        <v>605</v>
      </c>
      <c r="L126" s="55" t="s">
        <v>605</v>
      </c>
      <c r="M126" s="55" t="s">
        <v>904</v>
      </c>
      <c r="N126" s="55">
        <v>0</v>
      </c>
      <c r="O126" s="55">
        <v>0</v>
      </c>
      <c r="P126" s="55">
        <v>0</v>
      </c>
      <c r="Q126" s="55">
        <v>0</v>
      </c>
      <c r="R126" s="55">
        <v>0</v>
      </c>
      <c r="S126" s="56" t="s">
        <v>869</v>
      </c>
      <c r="T126" s="39"/>
    </row>
    <row r="127" spans="1:20" x14ac:dyDescent="0.15">
      <c r="A127" s="39"/>
      <c r="B127" s="244"/>
      <c r="C127" s="244"/>
      <c r="D127" s="55" t="s">
        <v>810</v>
      </c>
      <c r="E127" s="55"/>
      <c r="F127" s="55"/>
      <c r="G127" s="55"/>
      <c r="H127" s="55"/>
      <c r="I127" s="55"/>
      <c r="J127" s="55"/>
      <c r="K127" s="55"/>
      <c r="L127" s="55"/>
      <c r="M127" s="55"/>
      <c r="N127" s="55"/>
      <c r="O127" s="55"/>
      <c r="P127" s="55"/>
      <c r="Q127" s="55"/>
      <c r="R127" s="55"/>
      <c r="S127" s="56"/>
      <c r="T127" s="39"/>
    </row>
    <row r="128" spans="1:20" x14ac:dyDescent="0.15">
      <c r="A128" s="39"/>
      <c r="B128" s="244"/>
      <c r="C128" s="244"/>
      <c r="D128" s="55" t="s">
        <v>810</v>
      </c>
      <c r="E128" s="55"/>
      <c r="F128" s="55"/>
      <c r="G128" s="55"/>
      <c r="H128" s="55"/>
      <c r="I128" s="55"/>
      <c r="J128" s="55"/>
      <c r="K128" s="55"/>
      <c r="L128" s="55"/>
      <c r="M128" s="55"/>
      <c r="N128" s="55"/>
      <c r="O128" s="55"/>
      <c r="P128" s="55"/>
      <c r="Q128" s="55"/>
      <c r="R128" s="55"/>
      <c r="S128" s="56"/>
      <c r="T128" s="39"/>
    </row>
    <row r="129" spans="1:20" x14ac:dyDescent="0.15">
      <c r="A129" s="39"/>
      <c r="B129" s="244"/>
      <c r="C129" s="244"/>
      <c r="D129" s="55"/>
      <c r="E129" s="55"/>
      <c r="F129" s="55"/>
      <c r="G129" s="55"/>
      <c r="H129" s="55"/>
      <c r="I129" s="55"/>
      <c r="J129" s="55"/>
      <c r="K129" s="55"/>
      <c r="L129" s="55"/>
      <c r="M129" s="55"/>
      <c r="N129" s="55"/>
      <c r="O129" s="55"/>
      <c r="P129" s="55"/>
      <c r="Q129" s="55"/>
      <c r="R129" s="55"/>
      <c r="S129" s="56"/>
      <c r="T129" s="39"/>
    </row>
    <row r="130" spans="1:20" x14ac:dyDescent="0.15">
      <c r="A130" s="39"/>
      <c r="B130" s="245"/>
      <c r="C130" s="245"/>
      <c r="D130" s="61"/>
      <c r="E130" s="61"/>
      <c r="F130" s="61"/>
      <c r="G130" s="61"/>
      <c r="H130" s="61"/>
      <c r="I130" s="61"/>
      <c r="J130" s="61"/>
      <c r="K130" s="61"/>
      <c r="L130" s="61"/>
      <c r="M130" s="61"/>
      <c r="N130" s="61"/>
      <c r="O130" s="61"/>
      <c r="P130" s="61"/>
      <c r="Q130" s="61"/>
      <c r="R130" s="61"/>
      <c r="S130" s="62"/>
      <c r="T130" s="39"/>
    </row>
    <row r="131" spans="1:20" x14ac:dyDescent="0.15">
      <c r="A131" s="39"/>
      <c r="B131" s="246">
        <v>17</v>
      </c>
      <c r="C131" s="243" t="s">
        <v>424</v>
      </c>
      <c r="D131" s="59" t="s">
        <v>811</v>
      </c>
      <c r="E131" s="59" t="s">
        <v>807</v>
      </c>
      <c r="F131" s="59">
        <v>14</v>
      </c>
      <c r="G131" s="59" t="s">
        <v>896</v>
      </c>
      <c r="H131" s="59" t="s">
        <v>889</v>
      </c>
      <c r="I131" s="59" t="s">
        <v>893</v>
      </c>
      <c r="J131" s="59" t="s">
        <v>888</v>
      </c>
      <c r="K131" s="59" t="s">
        <v>704</v>
      </c>
      <c r="L131" s="59" t="s">
        <v>605</v>
      </c>
      <c r="M131" s="59" t="s">
        <v>605</v>
      </c>
      <c r="N131" s="59">
        <v>1</v>
      </c>
      <c r="O131" s="59">
        <v>0</v>
      </c>
      <c r="P131" s="59">
        <v>1</v>
      </c>
      <c r="Q131" s="59">
        <v>0</v>
      </c>
      <c r="R131" s="59">
        <v>0</v>
      </c>
      <c r="S131" s="60" t="s">
        <v>377</v>
      </c>
      <c r="T131" s="39"/>
    </row>
    <row r="132" spans="1:20" x14ac:dyDescent="0.15">
      <c r="A132" s="39"/>
      <c r="B132" s="244"/>
      <c r="C132" s="244"/>
      <c r="D132" s="55" t="s">
        <v>811</v>
      </c>
      <c r="E132" s="55" t="s">
        <v>806</v>
      </c>
      <c r="F132" s="55">
        <v>15</v>
      </c>
      <c r="G132" s="55" t="s">
        <v>899</v>
      </c>
      <c r="H132" s="55" t="s">
        <v>889</v>
      </c>
      <c r="I132" s="55" t="s">
        <v>893</v>
      </c>
      <c r="J132" s="55" t="s">
        <v>888</v>
      </c>
      <c r="K132" s="55" t="s">
        <v>605</v>
      </c>
      <c r="L132" s="55" t="s">
        <v>605</v>
      </c>
      <c r="M132" s="55" t="s">
        <v>605</v>
      </c>
      <c r="N132" s="55">
        <v>0</v>
      </c>
      <c r="O132" s="55">
        <v>0</v>
      </c>
      <c r="P132" s="55">
        <v>0</v>
      </c>
      <c r="Q132" s="55">
        <v>0</v>
      </c>
      <c r="R132" s="55">
        <v>0</v>
      </c>
      <c r="S132" s="56" t="s">
        <v>870</v>
      </c>
      <c r="T132" s="39"/>
    </row>
    <row r="133" spans="1:20" x14ac:dyDescent="0.15">
      <c r="A133" s="39"/>
      <c r="B133" s="244"/>
      <c r="C133" s="244"/>
      <c r="D133" s="55" t="s">
        <v>811</v>
      </c>
      <c r="E133" s="55" t="s">
        <v>808</v>
      </c>
      <c r="F133" s="55">
        <v>13</v>
      </c>
      <c r="G133" s="55" t="s">
        <v>605</v>
      </c>
      <c r="H133" s="55" t="s">
        <v>892</v>
      </c>
      <c r="I133" s="55" t="s">
        <v>893</v>
      </c>
      <c r="J133" s="55" t="s">
        <v>894</v>
      </c>
      <c r="K133" s="55" t="s">
        <v>704</v>
      </c>
      <c r="L133" s="55" t="s">
        <v>605</v>
      </c>
      <c r="M133" s="55" t="s">
        <v>605</v>
      </c>
      <c r="N133" s="55">
        <v>2</v>
      </c>
      <c r="O133" s="55">
        <v>2</v>
      </c>
      <c r="P133" s="55">
        <v>0</v>
      </c>
      <c r="Q133" s="55">
        <v>1</v>
      </c>
      <c r="R133" s="55">
        <v>3</v>
      </c>
      <c r="S133" s="56" t="s">
        <v>869</v>
      </c>
      <c r="T133" s="39"/>
    </row>
    <row r="134" spans="1:20" x14ac:dyDescent="0.15">
      <c r="A134" s="39"/>
      <c r="B134" s="244"/>
      <c r="C134" s="244"/>
      <c r="D134" s="55" t="s">
        <v>811</v>
      </c>
      <c r="E134" s="55" t="s">
        <v>790</v>
      </c>
      <c r="F134" s="55">
        <v>13</v>
      </c>
      <c r="G134" s="55" t="s">
        <v>898</v>
      </c>
      <c r="H134" s="55" t="s">
        <v>881</v>
      </c>
      <c r="I134" s="55" t="s">
        <v>605</v>
      </c>
      <c r="J134" s="55" t="s">
        <v>891</v>
      </c>
      <c r="K134" s="55" t="s">
        <v>605</v>
      </c>
      <c r="L134" s="55" t="s">
        <v>605</v>
      </c>
      <c r="M134" s="55" t="s">
        <v>904</v>
      </c>
      <c r="N134" s="55">
        <v>0</v>
      </c>
      <c r="O134" s="55">
        <v>0</v>
      </c>
      <c r="P134" s="55">
        <v>0</v>
      </c>
      <c r="Q134" s="55">
        <v>0</v>
      </c>
      <c r="R134" s="55">
        <v>0</v>
      </c>
      <c r="S134" s="56" t="s">
        <v>869</v>
      </c>
      <c r="T134" s="39"/>
    </row>
    <row r="135" spans="1:20" x14ac:dyDescent="0.15">
      <c r="A135" s="39"/>
      <c r="B135" s="244"/>
      <c r="C135" s="244"/>
      <c r="D135" s="55" t="s">
        <v>811</v>
      </c>
      <c r="E135" s="55"/>
      <c r="F135" s="55"/>
      <c r="G135" s="55"/>
      <c r="H135" s="55"/>
      <c r="I135" s="55"/>
      <c r="J135" s="55"/>
      <c r="K135" s="55"/>
      <c r="L135" s="55"/>
      <c r="M135" s="55"/>
      <c r="N135" s="55"/>
      <c r="O135" s="55"/>
      <c r="P135" s="55"/>
      <c r="Q135" s="55"/>
      <c r="R135" s="55"/>
      <c r="S135" s="56"/>
      <c r="T135" s="39"/>
    </row>
    <row r="136" spans="1:20" x14ac:dyDescent="0.15">
      <c r="A136" s="39"/>
      <c r="B136" s="244"/>
      <c r="C136" s="244"/>
      <c r="D136" s="55"/>
      <c r="E136" s="55"/>
      <c r="F136" s="55"/>
      <c r="G136" s="55"/>
      <c r="H136" s="55"/>
      <c r="I136" s="55"/>
      <c r="J136" s="55"/>
      <c r="K136" s="55"/>
      <c r="L136" s="55"/>
      <c r="M136" s="55"/>
      <c r="N136" s="55"/>
      <c r="O136" s="55"/>
      <c r="P136" s="55"/>
      <c r="Q136" s="55"/>
      <c r="R136" s="55"/>
      <c r="S136" s="56"/>
      <c r="T136" s="39"/>
    </row>
    <row r="137" spans="1:20" x14ac:dyDescent="0.15">
      <c r="A137" s="39"/>
      <c r="B137" s="244"/>
      <c r="C137" s="244"/>
      <c r="D137" s="55"/>
      <c r="E137" s="55"/>
      <c r="F137" s="55"/>
      <c r="G137" s="55"/>
      <c r="H137" s="55"/>
      <c r="I137" s="55"/>
      <c r="J137" s="55"/>
      <c r="K137" s="55"/>
      <c r="L137" s="55"/>
      <c r="M137" s="55"/>
      <c r="N137" s="55"/>
      <c r="O137" s="55"/>
      <c r="P137" s="55"/>
      <c r="Q137" s="55"/>
      <c r="R137" s="55"/>
      <c r="S137" s="56"/>
      <c r="T137" s="39"/>
    </row>
    <row r="138" spans="1:20" x14ac:dyDescent="0.15">
      <c r="A138" s="39"/>
      <c r="B138" s="245"/>
      <c r="C138" s="245"/>
      <c r="D138" s="61"/>
      <c r="E138" s="61"/>
      <c r="F138" s="61"/>
      <c r="G138" s="61"/>
      <c r="H138" s="61"/>
      <c r="I138" s="61"/>
      <c r="J138" s="61"/>
      <c r="K138" s="61"/>
      <c r="L138" s="61"/>
      <c r="M138" s="61"/>
      <c r="N138" s="61"/>
      <c r="O138" s="61"/>
      <c r="P138" s="61"/>
      <c r="Q138" s="61"/>
      <c r="R138" s="61"/>
      <c r="S138" s="62"/>
      <c r="T138" s="39"/>
    </row>
    <row r="139" spans="1:20" x14ac:dyDescent="0.15">
      <c r="A139" s="39"/>
      <c r="B139" s="246">
        <v>18</v>
      </c>
      <c r="C139" s="251" t="s">
        <v>425</v>
      </c>
      <c r="D139" s="55" t="s">
        <v>812</v>
      </c>
      <c r="E139" s="55" t="s">
        <v>814</v>
      </c>
      <c r="F139" s="59">
        <v>14</v>
      </c>
      <c r="G139" s="164" t="s">
        <v>899</v>
      </c>
      <c r="H139" s="165" t="s">
        <v>889</v>
      </c>
      <c r="I139" s="165" t="s">
        <v>893</v>
      </c>
      <c r="J139" s="165" t="s">
        <v>888</v>
      </c>
      <c r="K139" s="165" t="s">
        <v>605</v>
      </c>
      <c r="L139" s="165" t="s">
        <v>605</v>
      </c>
      <c r="M139" s="165" t="s">
        <v>605</v>
      </c>
      <c r="N139" s="165">
        <v>0</v>
      </c>
      <c r="O139" s="165">
        <v>0</v>
      </c>
      <c r="P139" s="165">
        <v>0</v>
      </c>
      <c r="Q139" s="165">
        <v>0</v>
      </c>
      <c r="R139" s="165">
        <v>0</v>
      </c>
      <c r="S139" s="166" t="s">
        <v>870</v>
      </c>
      <c r="T139" s="39"/>
    </row>
    <row r="140" spans="1:20" x14ac:dyDescent="0.15">
      <c r="A140" s="39"/>
      <c r="B140" s="244"/>
      <c r="C140" s="252"/>
      <c r="D140" s="55" t="s">
        <v>813</v>
      </c>
      <c r="E140" s="55" t="s">
        <v>815</v>
      </c>
      <c r="F140" s="55">
        <v>15</v>
      </c>
      <c r="G140" s="167" t="s">
        <v>896</v>
      </c>
      <c r="H140" s="85" t="s">
        <v>889</v>
      </c>
      <c r="I140" s="85" t="s">
        <v>893</v>
      </c>
      <c r="J140" s="85" t="s">
        <v>888</v>
      </c>
      <c r="K140" s="85" t="s">
        <v>704</v>
      </c>
      <c r="L140" s="85" t="s">
        <v>605</v>
      </c>
      <c r="M140" s="85" t="s">
        <v>605</v>
      </c>
      <c r="N140" s="85">
        <v>1</v>
      </c>
      <c r="O140" s="85">
        <v>0</v>
      </c>
      <c r="P140" s="85">
        <v>1</v>
      </c>
      <c r="Q140" s="85">
        <v>0</v>
      </c>
      <c r="R140" s="85">
        <v>0</v>
      </c>
      <c r="S140" s="168" t="s">
        <v>377</v>
      </c>
      <c r="T140" s="39"/>
    </row>
    <row r="141" spans="1:20" x14ac:dyDescent="0.15">
      <c r="A141" s="39"/>
      <c r="B141" s="244"/>
      <c r="C141" s="252"/>
      <c r="D141" s="55"/>
      <c r="E141" s="55" t="s">
        <v>808</v>
      </c>
      <c r="F141" s="55">
        <v>13</v>
      </c>
      <c r="G141" s="169" t="s">
        <v>605</v>
      </c>
      <c r="H141" s="55" t="s">
        <v>892</v>
      </c>
      <c r="I141" s="55" t="s">
        <v>893</v>
      </c>
      <c r="J141" s="55" t="s">
        <v>894</v>
      </c>
      <c r="K141" s="55" t="s">
        <v>704</v>
      </c>
      <c r="L141" s="55" t="s">
        <v>605</v>
      </c>
      <c r="M141" s="55" t="s">
        <v>605</v>
      </c>
      <c r="N141" s="55">
        <v>2</v>
      </c>
      <c r="O141" s="55">
        <v>2</v>
      </c>
      <c r="P141" s="55">
        <v>0</v>
      </c>
      <c r="Q141" s="55">
        <v>1</v>
      </c>
      <c r="R141" s="55">
        <v>3</v>
      </c>
      <c r="S141" s="170" t="s">
        <v>869</v>
      </c>
      <c r="T141" s="39"/>
    </row>
    <row r="142" spans="1:20" x14ac:dyDescent="0.15">
      <c r="A142" s="39"/>
      <c r="B142" s="244"/>
      <c r="C142" s="252"/>
      <c r="D142" s="55"/>
      <c r="E142" s="55" t="s">
        <v>816</v>
      </c>
      <c r="F142" s="55">
        <v>13</v>
      </c>
      <c r="G142" s="169" t="s">
        <v>900</v>
      </c>
      <c r="H142" s="55" t="s">
        <v>901</v>
      </c>
      <c r="I142" s="55" t="s">
        <v>605</v>
      </c>
      <c r="J142" s="55" t="s">
        <v>902</v>
      </c>
      <c r="K142" s="55" t="s">
        <v>886</v>
      </c>
      <c r="L142" s="55" t="s">
        <v>605</v>
      </c>
      <c r="M142" s="55" t="s">
        <v>605</v>
      </c>
      <c r="N142" s="55">
        <v>0</v>
      </c>
      <c r="O142" s="55">
        <v>1</v>
      </c>
      <c r="P142" s="55">
        <v>0</v>
      </c>
      <c r="Q142" s="55">
        <v>0</v>
      </c>
      <c r="R142" s="55">
        <v>0</v>
      </c>
      <c r="S142" s="170" t="s">
        <v>903</v>
      </c>
      <c r="T142" s="39"/>
    </row>
    <row r="143" spans="1:20" x14ac:dyDescent="0.15">
      <c r="A143" s="39"/>
      <c r="B143" s="244"/>
      <c r="C143" s="252"/>
      <c r="D143" s="55"/>
      <c r="E143" s="55"/>
      <c r="F143" s="55"/>
      <c r="G143" s="169"/>
      <c r="H143" s="55"/>
      <c r="I143" s="55"/>
      <c r="J143" s="55"/>
      <c r="K143" s="55"/>
      <c r="L143" s="55"/>
      <c r="M143" s="55"/>
      <c r="N143" s="55"/>
      <c r="O143" s="55"/>
      <c r="P143" s="55"/>
      <c r="Q143" s="55"/>
      <c r="R143" s="55"/>
      <c r="S143" s="170"/>
      <c r="T143" s="39"/>
    </row>
    <row r="144" spans="1:20" x14ac:dyDescent="0.15">
      <c r="A144" s="39"/>
      <c r="B144" s="244"/>
      <c r="C144" s="252"/>
      <c r="D144" s="55"/>
      <c r="E144" s="55"/>
      <c r="F144" s="55"/>
      <c r="G144" s="169"/>
      <c r="H144" s="55"/>
      <c r="I144" s="55"/>
      <c r="J144" s="55"/>
      <c r="K144" s="55"/>
      <c r="L144" s="55"/>
      <c r="M144" s="55"/>
      <c r="N144" s="55"/>
      <c r="O144" s="55"/>
      <c r="P144" s="55"/>
      <c r="Q144" s="55"/>
      <c r="R144" s="55"/>
      <c r="S144" s="170"/>
      <c r="T144" s="39"/>
    </row>
    <row r="145" spans="1:20" x14ac:dyDescent="0.15">
      <c r="A145" s="39"/>
      <c r="B145" s="244"/>
      <c r="C145" s="252"/>
      <c r="D145" s="55"/>
      <c r="E145" s="55"/>
      <c r="F145" s="55"/>
      <c r="G145" s="169"/>
      <c r="H145" s="55"/>
      <c r="I145" s="55"/>
      <c r="J145" s="55"/>
      <c r="K145" s="55"/>
      <c r="L145" s="55"/>
      <c r="M145" s="55"/>
      <c r="N145" s="55"/>
      <c r="O145" s="55"/>
      <c r="P145" s="55"/>
      <c r="Q145" s="55"/>
      <c r="R145" s="55"/>
      <c r="S145" s="170"/>
      <c r="T145" s="39"/>
    </row>
    <row r="146" spans="1:20" x14ac:dyDescent="0.15">
      <c r="A146" s="39"/>
      <c r="B146" s="245"/>
      <c r="C146" s="252"/>
      <c r="D146" s="57"/>
      <c r="E146" s="57"/>
      <c r="F146" s="57"/>
      <c r="G146" s="171"/>
      <c r="H146" s="172"/>
      <c r="I146" s="172"/>
      <c r="J146" s="172"/>
      <c r="K146" s="172"/>
      <c r="L146" s="172"/>
      <c r="M146" s="172"/>
      <c r="N146" s="172"/>
      <c r="O146" s="172"/>
      <c r="P146" s="172"/>
      <c r="Q146" s="172"/>
      <c r="R146" s="172"/>
      <c r="S146" s="173"/>
      <c r="T146" s="39"/>
    </row>
    <row r="147" spans="1:20" x14ac:dyDescent="0.15">
      <c r="A147" s="39"/>
      <c r="B147" s="246">
        <v>19</v>
      </c>
      <c r="C147" s="243" t="s">
        <v>426</v>
      </c>
      <c r="D147" s="59" t="s">
        <v>817</v>
      </c>
      <c r="E147" s="59" t="s">
        <v>819</v>
      </c>
      <c r="F147" s="59">
        <v>15</v>
      </c>
      <c r="G147" s="137" t="s">
        <v>899</v>
      </c>
      <c r="H147" s="137" t="s">
        <v>889</v>
      </c>
      <c r="I147" s="137" t="s">
        <v>893</v>
      </c>
      <c r="J147" s="137" t="s">
        <v>888</v>
      </c>
      <c r="K147" s="137" t="s">
        <v>605</v>
      </c>
      <c r="L147" s="137" t="s">
        <v>605</v>
      </c>
      <c r="M147" s="137" t="s">
        <v>605</v>
      </c>
      <c r="N147" s="137">
        <v>0</v>
      </c>
      <c r="O147" s="137">
        <v>0</v>
      </c>
      <c r="P147" s="137">
        <v>0</v>
      </c>
      <c r="Q147" s="137">
        <v>0</v>
      </c>
      <c r="R147" s="137">
        <v>0</v>
      </c>
      <c r="S147" s="58" t="s">
        <v>870</v>
      </c>
      <c r="T147" s="39"/>
    </row>
    <row r="148" spans="1:20" x14ac:dyDescent="0.15">
      <c r="A148" s="39"/>
      <c r="B148" s="244"/>
      <c r="C148" s="244"/>
      <c r="D148" s="55" t="s">
        <v>818</v>
      </c>
      <c r="E148" s="55" t="s">
        <v>820</v>
      </c>
      <c r="F148" s="55">
        <v>14</v>
      </c>
      <c r="G148" s="85" t="s">
        <v>896</v>
      </c>
      <c r="H148" s="85" t="s">
        <v>889</v>
      </c>
      <c r="I148" s="85" t="s">
        <v>893</v>
      </c>
      <c r="J148" s="85" t="s">
        <v>888</v>
      </c>
      <c r="K148" s="85" t="s">
        <v>704</v>
      </c>
      <c r="L148" s="85" t="s">
        <v>605</v>
      </c>
      <c r="M148" s="85" t="s">
        <v>605</v>
      </c>
      <c r="N148" s="85">
        <v>1</v>
      </c>
      <c r="O148" s="85">
        <v>0</v>
      </c>
      <c r="P148" s="85">
        <v>1</v>
      </c>
      <c r="Q148" s="85">
        <v>0</v>
      </c>
      <c r="R148" s="85">
        <v>0</v>
      </c>
      <c r="S148" s="163" t="s">
        <v>377</v>
      </c>
      <c r="T148" s="39"/>
    </row>
    <row r="149" spans="1:20" x14ac:dyDescent="0.15">
      <c r="A149" s="39"/>
      <c r="B149" s="244"/>
      <c r="C149" s="244"/>
      <c r="D149" s="55" t="s">
        <v>818</v>
      </c>
      <c r="E149" s="55" t="s">
        <v>808</v>
      </c>
      <c r="F149" s="55">
        <v>13</v>
      </c>
      <c r="G149" s="55" t="s">
        <v>605</v>
      </c>
      <c r="H149" s="55" t="s">
        <v>892</v>
      </c>
      <c r="I149" s="55" t="s">
        <v>893</v>
      </c>
      <c r="J149" s="55" t="s">
        <v>894</v>
      </c>
      <c r="K149" s="55" t="s">
        <v>704</v>
      </c>
      <c r="L149" s="55" t="s">
        <v>605</v>
      </c>
      <c r="M149" s="55" t="s">
        <v>605</v>
      </c>
      <c r="N149" s="55">
        <v>2</v>
      </c>
      <c r="O149" s="55">
        <v>2</v>
      </c>
      <c r="P149" s="55">
        <v>0</v>
      </c>
      <c r="Q149" s="55">
        <v>1</v>
      </c>
      <c r="R149" s="55">
        <v>3</v>
      </c>
      <c r="S149" s="56" t="s">
        <v>869</v>
      </c>
      <c r="T149" s="39"/>
    </row>
    <row r="150" spans="1:20" x14ac:dyDescent="0.15">
      <c r="A150" s="39"/>
      <c r="B150" s="244"/>
      <c r="C150" s="244"/>
      <c r="D150" s="55" t="s">
        <v>818</v>
      </c>
      <c r="E150" s="55" t="s">
        <v>821</v>
      </c>
      <c r="F150" s="55">
        <v>13</v>
      </c>
      <c r="G150" s="55" t="s">
        <v>900</v>
      </c>
      <c r="H150" s="55" t="s">
        <v>901</v>
      </c>
      <c r="I150" s="55" t="s">
        <v>605</v>
      </c>
      <c r="J150" s="55" t="s">
        <v>902</v>
      </c>
      <c r="K150" s="55" t="s">
        <v>886</v>
      </c>
      <c r="L150" s="55" t="s">
        <v>605</v>
      </c>
      <c r="M150" s="55" t="s">
        <v>605</v>
      </c>
      <c r="N150" s="55">
        <v>0</v>
      </c>
      <c r="O150" s="55">
        <v>0</v>
      </c>
      <c r="P150" s="55">
        <v>0</v>
      </c>
      <c r="Q150" s="55">
        <v>0</v>
      </c>
      <c r="R150" s="55">
        <v>0</v>
      </c>
      <c r="S150" s="56" t="s">
        <v>869</v>
      </c>
      <c r="T150" s="39"/>
    </row>
    <row r="151" spans="1:20" x14ac:dyDescent="0.15">
      <c r="A151" s="39"/>
      <c r="B151" s="244"/>
      <c r="C151" s="244"/>
      <c r="D151" s="55"/>
      <c r="E151" s="55"/>
      <c r="F151" s="55"/>
      <c r="G151" s="55"/>
      <c r="H151" s="55"/>
      <c r="I151" s="55"/>
      <c r="J151" s="55"/>
      <c r="K151" s="55"/>
      <c r="L151" s="55"/>
      <c r="M151" s="55"/>
      <c r="N151" s="55"/>
      <c r="O151" s="55"/>
      <c r="P151" s="55"/>
      <c r="Q151" s="55"/>
      <c r="R151" s="55"/>
      <c r="S151" s="56"/>
      <c r="T151" s="39"/>
    </row>
    <row r="152" spans="1:20" x14ac:dyDescent="0.15">
      <c r="A152" s="39"/>
      <c r="B152" s="244"/>
      <c r="C152" s="244"/>
      <c r="D152" s="55"/>
      <c r="E152" s="55"/>
      <c r="F152" s="55"/>
      <c r="G152" s="55"/>
      <c r="H152" s="55"/>
      <c r="I152" s="55"/>
      <c r="J152" s="55"/>
      <c r="K152" s="55"/>
      <c r="L152" s="55"/>
      <c r="M152" s="55"/>
      <c r="N152" s="55"/>
      <c r="O152" s="55"/>
      <c r="P152" s="55"/>
      <c r="Q152" s="55"/>
      <c r="R152" s="55"/>
      <c r="S152" s="56"/>
      <c r="T152" s="39"/>
    </row>
    <row r="153" spans="1:20" x14ac:dyDescent="0.15">
      <c r="A153" s="39"/>
      <c r="B153" s="244"/>
      <c r="C153" s="244"/>
      <c r="D153" s="55"/>
      <c r="E153" s="55"/>
      <c r="F153" s="55"/>
      <c r="G153" s="55"/>
      <c r="H153" s="55"/>
      <c r="I153" s="55"/>
      <c r="J153" s="55"/>
      <c r="K153" s="55"/>
      <c r="L153" s="55"/>
      <c r="M153" s="55"/>
      <c r="N153" s="55"/>
      <c r="O153" s="55"/>
      <c r="P153" s="55"/>
      <c r="Q153" s="55"/>
      <c r="R153" s="55"/>
      <c r="S153" s="56"/>
      <c r="T153" s="39"/>
    </row>
    <row r="154" spans="1:20" x14ac:dyDescent="0.15">
      <c r="A154" s="39"/>
      <c r="B154" s="245"/>
      <c r="C154" s="245"/>
      <c r="D154" s="61"/>
      <c r="E154" s="61"/>
      <c r="F154" s="61"/>
      <c r="G154" s="61"/>
      <c r="H154" s="61"/>
      <c r="I154" s="61"/>
      <c r="J154" s="61"/>
      <c r="K154" s="61"/>
      <c r="L154" s="61"/>
      <c r="M154" s="61"/>
      <c r="N154" s="61"/>
      <c r="O154" s="61"/>
      <c r="P154" s="61"/>
      <c r="Q154" s="61"/>
      <c r="R154" s="61"/>
      <c r="S154" s="62"/>
      <c r="T154" s="39"/>
    </row>
    <row r="155" spans="1:20" x14ac:dyDescent="0.15">
      <c r="A155" s="39"/>
      <c r="B155" s="246">
        <v>20</v>
      </c>
      <c r="C155" s="243" t="s">
        <v>428</v>
      </c>
      <c r="D155" s="59" t="s">
        <v>823</v>
      </c>
      <c r="E155" s="59" t="s">
        <v>822</v>
      </c>
      <c r="F155" s="59">
        <v>13</v>
      </c>
      <c r="G155" s="55" t="s">
        <v>900</v>
      </c>
      <c r="H155" s="55" t="s">
        <v>901</v>
      </c>
      <c r="I155" s="55" t="s">
        <v>605</v>
      </c>
      <c r="J155" s="55" t="s">
        <v>902</v>
      </c>
      <c r="K155" s="55" t="s">
        <v>886</v>
      </c>
      <c r="L155" s="55" t="s">
        <v>605</v>
      </c>
      <c r="M155" s="55" t="s">
        <v>605</v>
      </c>
      <c r="N155" s="55">
        <v>0</v>
      </c>
      <c r="O155" s="55">
        <v>0</v>
      </c>
      <c r="P155" s="55">
        <v>0</v>
      </c>
      <c r="Q155" s="55">
        <v>0</v>
      </c>
      <c r="R155" s="55">
        <v>0</v>
      </c>
      <c r="S155" s="56" t="s">
        <v>869</v>
      </c>
      <c r="T155" s="39"/>
    </row>
    <row r="156" spans="1:20" x14ac:dyDescent="0.15">
      <c r="A156" s="39"/>
      <c r="B156" s="244"/>
      <c r="C156" s="244"/>
      <c r="D156" s="55" t="s">
        <v>823</v>
      </c>
      <c r="E156" s="55"/>
      <c r="F156" s="55"/>
      <c r="G156" s="55"/>
      <c r="H156" s="55"/>
      <c r="I156" s="55"/>
      <c r="J156" s="55"/>
      <c r="K156" s="55"/>
      <c r="L156" s="55"/>
      <c r="M156" s="55"/>
      <c r="N156" s="55"/>
      <c r="O156" s="55"/>
      <c r="P156" s="55"/>
      <c r="Q156" s="55"/>
      <c r="R156" s="55"/>
      <c r="S156" s="56"/>
      <c r="T156" s="39"/>
    </row>
    <row r="157" spans="1:20" x14ac:dyDescent="0.15">
      <c r="A157" s="39"/>
      <c r="B157" s="244"/>
      <c r="C157" s="244"/>
      <c r="D157" s="55" t="s">
        <v>823</v>
      </c>
      <c r="E157" s="55"/>
      <c r="F157" s="55"/>
      <c r="G157" s="55"/>
      <c r="H157" s="55"/>
      <c r="I157" s="55"/>
      <c r="J157" s="55"/>
      <c r="K157" s="55"/>
      <c r="L157" s="55"/>
      <c r="M157" s="55"/>
      <c r="N157" s="55"/>
      <c r="O157" s="55"/>
      <c r="P157" s="55"/>
      <c r="Q157" s="55"/>
      <c r="R157" s="55"/>
      <c r="S157" s="56"/>
      <c r="T157" s="39"/>
    </row>
    <row r="158" spans="1:20" x14ac:dyDescent="0.15">
      <c r="A158" s="39"/>
      <c r="B158" s="244"/>
      <c r="C158" s="244"/>
      <c r="D158" s="55" t="s">
        <v>823</v>
      </c>
      <c r="E158" s="55"/>
      <c r="F158" s="55"/>
      <c r="G158" s="55"/>
      <c r="H158" s="55"/>
      <c r="I158" s="55"/>
      <c r="J158" s="55"/>
      <c r="K158" s="55"/>
      <c r="L158" s="55"/>
      <c r="M158" s="55"/>
      <c r="N158" s="55"/>
      <c r="O158" s="55"/>
      <c r="P158" s="55"/>
      <c r="Q158" s="55"/>
      <c r="R158" s="55"/>
      <c r="S158" s="56"/>
      <c r="T158" s="39"/>
    </row>
    <row r="159" spans="1:20" x14ac:dyDescent="0.15">
      <c r="A159" s="39"/>
      <c r="B159" s="244"/>
      <c r="C159" s="244"/>
      <c r="D159" s="55" t="s">
        <v>823</v>
      </c>
      <c r="E159" s="55"/>
      <c r="F159" s="55"/>
      <c r="G159" s="55"/>
      <c r="H159" s="55"/>
      <c r="I159" s="55"/>
      <c r="J159" s="55"/>
      <c r="K159" s="55"/>
      <c r="L159" s="55"/>
      <c r="M159" s="55"/>
      <c r="N159" s="55"/>
      <c r="O159" s="55"/>
      <c r="P159" s="55"/>
      <c r="Q159" s="55"/>
      <c r="R159" s="55"/>
      <c r="S159" s="56"/>
      <c r="T159" s="39"/>
    </row>
    <row r="160" spans="1:20" x14ac:dyDescent="0.15">
      <c r="A160" s="39"/>
      <c r="B160" s="244"/>
      <c r="C160" s="244"/>
      <c r="D160" s="55"/>
      <c r="E160" s="55"/>
      <c r="F160" s="55"/>
      <c r="G160" s="55"/>
      <c r="H160" s="55"/>
      <c r="I160" s="55"/>
      <c r="J160" s="55"/>
      <c r="K160" s="55"/>
      <c r="L160" s="55"/>
      <c r="M160" s="55"/>
      <c r="N160" s="55"/>
      <c r="O160" s="55"/>
      <c r="P160" s="55"/>
      <c r="Q160" s="55"/>
      <c r="R160" s="55"/>
      <c r="S160" s="56"/>
      <c r="T160" s="39"/>
    </row>
    <row r="161" spans="1:20" x14ac:dyDescent="0.15">
      <c r="A161" s="39"/>
      <c r="B161" s="244"/>
      <c r="C161" s="244"/>
      <c r="D161" s="55"/>
      <c r="E161" s="55"/>
      <c r="F161" s="55"/>
      <c r="G161" s="55"/>
      <c r="H161" s="55"/>
      <c r="I161" s="55"/>
      <c r="J161" s="55"/>
      <c r="K161" s="55"/>
      <c r="L161" s="55"/>
      <c r="M161" s="55"/>
      <c r="N161" s="55"/>
      <c r="O161" s="55"/>
      <c r="P161" s="55"/>
      <c r="Q161" s="55"/>
      <c r="R161" s="55"/>
      <c r="S161" s="56"/>
      <c r="T161" s="39"/>
    </row>
    <row r="162" spans="1:20" x14ac:dyDescent="0.15">
      <c r="A162" s="39"/>
      <c r="B162" s="245"/>
      <c r="C162" s="245"/>
      <c r="D162" s="61"/>
      <c r="E162" s="61"/>
      <c r="F162" s="61"/>
      <c r="G162" s="61"/>
      <c r="H162" s="61"/>
      <c r="I162" s="61"/>
      <c r="J162" s="61"/>
      <c r="K162" s="61"/>
      <c r="L162" s="61"/>
      <c r="M162" s="61"/>
      <c r="N162" s="61"/>
      <c r="O162" s="61"/>
      <c r="P162" s="61"/>
      <c r="Q162" s="61"/>
      <c r="R162" s="61"/>
      <c r="S162" s="62"/>
      <c r="T162" s="39"/>
    </row>
    <row r="163" spans="1:20" x14ac:dyDescent="0.15">
      <c r="A163" s="39"/>
      <c r="B163" s="246">
        <v>21</v>
      </c>
      <c r="C163" s="243" t="s">
        <v>429</v>
      </c>
      <c r="D163" s="59" t="s">
        <v>632</v>
      </c>
      <c r="E163" s="59" t="s">
        <v>194</v>
      </c>
      <c r="F163" s="59">
        <v>15</v>
      </c>
      <c r="G163" s="137" t="s">
        <v>905</v>
      </c>
      <c r="H163" s="137" t="s">
        <v>889</v>
      </c>
      <c r="I163" s="137" t="s">
        <v>893</v>
      </c>
      <c r="J163" s="137" t="s">
        <v>888</v>
      </c>
      <c r="K163" s="137" t="s">
        <v>605</v>
      </c>
      <c r="L163" s="137" t="s">
        <v>605</v>
      </c>
      <c r="M163" s="137" t="s">
        <v>605</v>
      </c>
      <c r="N163" s="137">
        <v>0</v>
      </c>
      <c r="O163" s="137">
        <v>0</v>
      </c>
      <c r="P163" s="137">
        <v>0</v>
      </c>
      <c r="Q163" s="137">
        <v>0</v>
      </c>
      <c r="R163" s="137">
        <v>0</v>
      </c>
      <c r="S163" s="58" t="s">
        <v>870</v>
      </c>
      <c r="T163" s="39"/>
    </row>
    <row r="164" spans="1:20" x14ac:dyDescent="0.15">
      <c r="A164" s="39"/>
      <c r="B164" s="244"/>
      <c r="C164" s="244"/>
      <c r="D164" s="55" t="s">
        <v>824</v>
      </c>
      <c r="E164" s="55" t="s">
        <v>184</v>
      </c>
      <c r="F164" s="55">
        <v>14</v>
      </c>
      <c r="G164" s="85" t="s">
        <v>896</v>
      </c>
      <c r="H164" s="85" t="s">
        <v>889</v>
      </c>
      <c r="I164" s="85" t="s">
        <v>893</v>
      </c>
      <c r="J164" s="85" t="s">
        <v>888</v>
      </c>
      <c r="K164" s="85" t="s">
        <v>704</v>
      </c>
      <c r="L164" s="85" t="s">
        <v>605</v>
      </c>
      <c r="M164" s="85" t="s">
        <v>605</v>
      </c>
      <c r="N164" s="85">
        <v>1</v>
      </c>
      <c r="O164" s="85">
        <v>0</v>
      </c>
      <c r="P164" s="85">
        <v>1</v>
      </c>
      <c r="Q164" s="85">
        <v>0</v>
      </c>
      <c r="R164" s="85">
        <v>0</v>
      </c>
      <c r="S164" s="163" t="s">
        <v>377</v>
      </c>
      <c r="T164" s="39"/>
    </row>
    <row r="165" spans="1:20" x14ac:dyDescent="0.15">
      <c r="A165" s="39"/>
      <c r="B165" s="244"/>
      <c r="C165" s="244"/>
      <c r="D165" s="55" t="s">
        <v>824</v>
      </c>
      <c r="E165" s="55" t="s">
        <v>182</v>
      </c>
      <c r="F165" s="55">
        <v>14</v>
      </c>
      <c r="G165" s="55" t="s">
        <v>605</v>
      </c>
      <c r="H165" s="55" t="s">
        <v>892</v>
      </c>
      <c r="I165" s="55" t="s">
        <v>893</v>
      </c>
      <c r="J165" s="55" t="s">
        <v>894</v>
      </c>
      <c r="K165" s="55" t="s">
        <v>704</v>
      </c>
      <c r="L165" s="55" t="s">
        <v>605</v>
      </c>
      <c r="M165" s="55" t="s">
        <v>605</v>
      </c>
      <c r="N165" s="55">
        <v>2</v>
      </c>
      <c r="O165" s="55">
        <v>2</v>
      </c>
      <c r="P165" s="55">
        <v>0</v>
      </c>
      <c r="Q165" s="55">
        <v>1</v>
      </c>
      <c r="R165" s="55">
        <v>3</v>
      </c>
      <c r="S165" s="56" t="s">
        <v>869</v>
      </c>
      <c r="T165" s="39"/>
    </row>
    <row r="166" spans="1:20" x14ac:dyDescent="0.15">
      <c r="A166" s="39"/>
      <c r="B166" s="244"/>
      <c r="C166" s="244"/>
      <c r="D166" s="55"/>
      <c r="E166" s="55" t="s">
        <v>186</v>
      </c>
      <c r="F166" s="55">
        <v>13</v>
      </c>
      <c r="G166" s="55" t="s">
        <v>605</v>
      </c>
      <c r="H166" s="55" t="s">
        <v>881</v>
      </c>
      <c r="I166" s="55" t="s">
        <v>605</v>
      </c>
      <c r="J166" s="55" t="s">
        <v>891</v>
      </c>
      <c r="K166" s="55" t="s">
        <v>886</v>
      </c>
      <c r="L166" s="55" t="s">
        <v>605</v>
      </c>
      <c r="M166" s="55" t="s">
        <v>904</v>
      </c>
      <c r="N166" s="55">
        <v>0</v>
      </c>
      <c r="O166" s="55">
        <v>0</v>
      </c>
      <c r="P166" s="55">
        <v>0</v>
      </c>
      <c r="Q166" s="55">
        <v>0</v>
      </c>
      <c r="R166" s="55">
        <v>0</v>
      </c>
      <c r="S166" s="56" t="s">
        <v>869</v>
      </c>
      <c r="T166" s="39"/>
    </row>
    <row r="167" spans="1:20" x14ac:dyDescent="0.15">
      <c r="A167" s="39"/>
      <c r="B167" s="244"/>
      <c r="C167" s="244"/>
      <c r="D167" s="55"/>
      <c r="E167" s="55"/>
      <c r="F167" s="55"/>
      <c r="G167" s="55"/>
      <c r="H167" s="55"/>
      <c r="I167" s="55"/>
      <c r="J167" s="55"/>
      <c r="K167" s="55"/>
      <c r="L167" s="55"/>
      <c r="M167" s="55"/>
      <c r="N167" s="55"/>
      <c r="O167" s="55"/>
      <c r="P167" s="55"/>
      <c r="Q167" s="55"/>
      <c r="R167" s="55"/>
      <c r="S167" s="56"/>
      <c r="T167" s="39"/>
    </row>
    <row r="168" spans="1:20" x14ac:dyDescent="0.15">
      <c r="A168" s="39"/>
      <c r="B168" s="244"/>
      <c r="C168" s="244"/>
      <c r="D168" s="55"/>
      <c r="E168" s="55"/>
      <c r="F168" s="55"/>
      <c r="G168" s="55"/>
      <c r="H168" s="55"/>
      <c r="I168" s="55"/>
      <c r="J168" s="55"/>
      <c r="K168" s="55"/>
      <c r="L168" s="55"/>
      <c r="M168" s="55"/>
      <c r="N168" s="55"/>
      <c r="O168" s="55"/>
      <c r="P168" s="55"/>
      <c r="Q168" s="55"/>
      <c r="R168" s="55"/>
      <c r="S168" s="56"/>
      <c r="T168" s="39"/>
    </row>
    <row r="169" spans="1:20" x14ac:dyDescent="0.15">
      <c r="A169" s="39"/>
      <c r="B169" s="244"/>
      <c r="C169" s="244"/>
      <c r="D169" s="55"/>
      <c r="E169" s="55"/>
      <c r="F169" s="55"/>
      <c r="G169" s="55"/>
      <c r="H169" s="55"/>
      <c r="I169" s="55"/>
      <c r="J169" s="55"/>
      <c r="K169" s="55"/>
      <c r="L169" s="55"/>
      <c r="M169" s="55"/>
      <c r="N169" s="55"/>
      <c r="O169" s="55"/>
      <c r="P169" s="55"/>
      <c r="Q169" s="55"/>
      <c r="R169" s="55"/>
      <c r="S169" s="56"/>
      <c r="T169" s="39"/>
    </row>
    <row r="170" spans="1:20" x14ac:dyDescent="0.15">
      <c r="A170" s="39"/>
      <c r="B170" s="245"/>
      <c r="C170" s="245"/>
      <c r="D170" s="61"/>
      <c r="E170" s="61"/>
      <c r="F170" s="61"/>
      <c r="G170" s="61"/>
      <c r="H170" s="61"/>
      <c r="I170" s="61"/>
      <c r="J170" s="61"/>
      <c r="K170" s="61"/>
      <c r="L170" s="61"/>
      <c r="M170" s="61"/>
      <c r="N170" s="61"/>
      <c r="O170" s="61"/>
      <c r="P170" s="61"/>
      <c r="Q170" s="61"/>
      <c r="R170" s="61"/>
      <c r="S170" s="62"/>
      <c r="T170" s="39"/>
    </row>
    <row r="171" spans="1:20" x14ac:dyDescent="0.15">
      <c r="A171" s="39"/>
      <c r="B171" s="246">
        <v>22</v>
      </c>
      <c r="C171" s="243" t="s">
        <v>430</v>
      </c>
      <c r="D171" s="59" t="s">
        <v>633</v>
      </c>
      <c r="E171" s="59" t="s">
        <v>194</v>
      </c>
      <c r="F171" s="59">
        <v>15</v>
      </c>
      <c r="G171" s="59" t="s">
        <v>29</v>
      </c>
      <c r="H171" s="59" t="s">
        <v>104</v>
      </c>
      <c r="I171" s="59" t="s">
        <v>637</v>
      </c>
      <c r="J171" s="59" t="s">
        <v>639</v>
      </c>
      <c r="K171" s="59" t="s">
        <v>641</v>
      </c>
      <c r="L171" s="59" t="s">
        <v>641</v>
      </c>
      <c r="M171" s="59" t="s">
        <v>641</v>
      </c>
      <c r="N171" s="59">
        <v>0</v>
      </c>
      <c r="O171" s="59">
        <v>0</v>
      </c>
      <c r="P171" s="59">
        <v>0</v>
      </c>
      <c r="Q171" s="59">
        <v>0</v>
      </c>
      <c r="R171" s="59">
        <v>0</v>
      </c>
      <c r="S171" s="60" t="s">
        <v>377</v>
      </c>
      <c r="T171" s="39"/>
    </row>
    <row r="172" spans="1:20" x14ac:dyDescent="0.15">
      <c r="A172" s="39"/>
      <c r="B172" s="244"/>
      <c r="C172" s="244"/>
      <c r="D172" s="55" t="s">
        <v>683</v>
      </c>
      <c r="E172" s="55" t="s">
        <v>184</v>
      </c>
      <c r="F172" s="55">
        <v>14</v>
      </c>
      <c r="G172" s="55" t="s">
        <v>905</v>
      </c>
      <c r="H172" s="55" t="s">
        <v>635</v>
      </c>
      <c r="I172" s="55" t="s">
        <v>637</v>
      </c>
      <c r="J172" s="55" t="s">
        <v>639</v>
      </c>
      <c r="K172" s="55" t="s">
        <v>643</v>
      </c>
      <c r="L172" s="55" t="s">
        <v>641</v>
      </c>
      <c r="M172" s="55" t="s">
        <v>641</v>
      </c>
      <c r="N172" s="55">
        <v>1</v>
      </c>
      <c r="O172" s="55">
        <v>1</v>
      </c>
      <c r="P172" s="55">
        <v>1</v>
      </c>
      <c r="Q172" s="55">
        <v>0</v>
      </c>
      <c r="R172" s="55">
        <v>0</v>
      </c>
      <c r="S172" s="56" t="s">
        <v>645</v>
      </c>
      <c r="T172" s="39"/>
    </row>
    <row r="173" spans="1:20" x14ac:dyDescent="0.15">
      <c r="A173" s="39"/>
      <c r="B173" s="244"/>
      <c r="C173" s="244"/>
      <c r="D173" s="55" t="s">
        <v>683</v>
      </c>
      <c r="E173" s="55" t="s">
        <v>182</v>
      </c>
      <c r="F173" s="55">
        <v>14</v>
      </c>
      <c r="G173" s="55" t="s">
        <v>466</v>
      </c>
      <c r="H173" s="55" t="s">
        <v>634</v>
      </c>
      <c r="I173" s="55" t="s">
        <v>637</v>
      </c>
      <c r="J173" s="55" t="s">
        <v>640</v>
      </c>
      <c r="K173" s="55" t="s">
        <v>643</v>
      </c>
      <c r="L173" s="55" t="s">
        <v>641</v>
      </c>
      <c r="M173" s="55" t="s">
        <v>641</v>
      </c>
      <c r="N173" s="55">
        <v>2</v>
      </c>
      <c r="O173" s="55">
        <v>2</v>
      </c>
      <c r="P173" s="55">
        <v>0</v>
      </c>
      <c r="Q173" s="55">
        <v>1</v>
      </c>
      <c r="R173" s="55">
        <v>3</v>
      </c>
      <c r="S173" s="56" t="s">
        <v>645</v>
      </c>
      <c r="T173" s="39"/>
    </row>
    <row r="174" spans="1:20" x14ac:dyDescent="0.15">
      <c r="A174" s="39"/>
      <c r="B174" s="244"/>
      <c r="C174" s="244"/>
      <c r="D174" s="55"/>
      <c r="E174" s="55" t="s">
        <v>186</v>
      </c>
      <c r="F174" s="55">
        <v>13</v>
      </c>
      <c r="G174" s="55" t="s">
        <v>466</v>
      </c>
      <c r="H174" s="55" t="s">
        <v>636</v>
      </c>
      <c r="I174" s="55" t="s">
        <v>638</v>
      </c>
      <c r="J174" s="55" t="s">
        <v>642</v>
      </c>
      <c r="K174" s="55" t="s">
        <v>641</v>
      </c>
      <c r="L174" s="55" t="s">
        <v>641</v>
      </c>
      <c r="M174" s="55" t="s">
        <v>644</v>
      </c>
      <c r="N174" s="55">
        <v>0</v>
      </c>
      <c r="O174" s="55">
        <v>0</v>
      </c>
      <c r="P174" s="55">
        <v>0</v>
      </c>
      <c r="Q174" s="55">
        <v>0</v>
      </c>
      <c r="R174" s="55">
        <v>0</v>
      </c>
      <c r="S174" s="56" t="s">
        <v>646</v>
      </c>
      <c r="T174" s="39"/>
    </row>
    <row r="175" spans="1:20" x14ac:dyDescent="0.15">
      <c r="A175" s="39"/>
      <c r="B175" s="244"/>
      <c r="C175" s="244"/>
      <c r="D175" s="55"/>
      <c r="E175" s="55"/>
      <c r="F175" s="55"/>
      <c r="G175" s="55"/>
      <c r="H175" s="55"/>
      <c r="I175" s="55"/>
      <c r="J175" s="55"/>
      <c r="K175" s="55"/>
      <c r="L175" s="55"/>
      <c r="M175" s="55"/>
      <c r="N175" s="55"/>
      <c r="O175" s="55"/>
      <c r="P175" s="55"/>
      <c r="Q175" s="55"/>
      <c r="R175" s="55"/>
      <c r="S175" s="56"/>
      <c r="T175" s="39"/>
    </row>
    <row r="176" spans="1:20" x14ac:dyDescent="0.15">
      <c r="A176" s="39"/>
      <c r="B176" s="244"/>
      <c r="C176" s="244"/>
      <c r="D176" s="55"/>
      <c r="E176" s="55"/>
      <c r="F176" s="55"/>
      <c r="G176" s="55"/>
      <c r="H176" s="55"/>
      <c r="I176" s="55"/>
      <c r="J176" s="55"/>
      <c r="K176" s="55"/>
      <c r="L176" s="55"/>
      <c r="M176" s="55"/>
      <c r="N176" s="55"/>
      <c r="O176" s="55"/>
      <c r="P176" s="55"/>
      <c r="Q176" s="55"/>
      <c r="R176" s="55"/>
      <c r="S176" s="56"/>
      <c r="T176" s="39"/>
    </row>
    <row r="177" spans="1:20" x14ac:dyDescent="0.15">
      <c r="A177" s="39"/>
      <c r="B177" s="244"/>
      <c r="C177" s="244"/>
      <c r="D177" s="55"/>
      <c r="E177" s="55"/>
      <c r="F177" s="55"/>
      <c r="G177" s="55"/>
      <c r="H177" s="55"/>
      <c r="I177" s="55"/>
      <c r="J177" s="55"/>
      <c r="K177" s="55"/>
      <c r="L177" s="55"/>
      <c r="M177" s="55"/>
      <c r="N177" s="55"/>
      <c r="O177" s="55"/>
      <c r="P177" s="55"/>
      <c r="Q177" s="55"/>
      <c r="R177" s="55"/>
      <c r="S177" s="56"/>
      <c r="T177" s="39"/>
    </row>
    <row r="178" spans="1:20" x14ac:dyDescent="0.15">
      <c r="A178" s="39"/>
      <c r="B178" s="245"/>
      <c r="C178" s="245"/>
      <c r="D178" s="61"/>
      <c r="E178" s="61"/>
      <c r="F178" s="61"/>
      <c r="G178" s="61"/>
      <c r="H178" s="61"/>
      <c r="I178" s="61"/>
      <c r="J178" s="61"/>
      <c r="K178" s="61"/>
      <c r="L178" s="61"/>
      <c r="M178" s="61"/>
      <c r="N178" s="61"/>
      <c r="O178" s="61"/>
      <c r="P178" s="61"/>
      <c r="Q178" s="61"/>
      <c r="R178" s="61"/>
      <c r="S178" s="62"/>
      <c r="T178" s="39"/>
    </row>
    <row r="179" spans="1:20" x14ac:dyDescent="0.15">
      <c r="A179" s="39"/>
      <c r="B179" s="246">
        <v>23</v>
      </c>
      <c r="C179" s="243" t="s">
        <v>427</v>
      </c>
      <c r="D179" s="59" t="s">
        <v>825</v>
      </c>
      <c r="E179" s="59" t="s">
        <v>194</v>
      </c>
      <c r="F179" s="59">
        <v>15</v>
      </c>
      <c r="G179" s="59" t="s">
        <v>29</v>
      </c>
      <c r="H179" s="59" t="s">
        <v>104</v>
      </c>
      <c r="I179" s="59" t="s">
        <v>637</v>
      </c>
      <c r="J179" s="59" t="s">
        <v>639</v>
      </c>
      <c r="K179" s="59" t="s">
        <v>641</v>
      </c>
      <c r="L179" s="59" t="s">
        <v>641</v>
      </c>
      <c r="M179" s="59" t="s">
        <v>641</v>
      </c>
      <c r="N179" s="59">
        <v>0</v>
      </c>
      <c r="O179" s="59">
        <v>0</v>
      </c>
      <c r="P179" s="59">
        <v>0</v>
      </c>
      <c r="Q179" s="59">
        <v>0</v>
      </c>
      <c r="R179" s="59">
        <v>0</v>
      </c>
      <c r="S179" s="60" t="s">
        <v>377</v>
      </c>
      <c r="T179" s="39"/>
    </row>
    <row r="180" spans="1:20" x14ac:dyDescent="0.15">
      <c r="A180" s="39"/>
      <c r="B180" s="244"/>
      <c r="C180" s="244"/>
      <c r="D180" s="55"/>
      <c r="E180" s="55" t="s">
        <v>184</v>
      </c>
      <c r="F180" s="55">
        <v>15</v>
      </c>
      <c r="G180" s="55" t="s">
        <v>905</v>
      </c>
      <c r="H180" s="55" t="s">
        <v>635</v>
      </c>
      <c r="I180" s="55" t="s">
        <v>637</v>
      </c>
      <c r="J180" s="55" t="s">
        <v>639</v>
      </c>
      <c r="K180" s="55" t="s">
        <v>643</v>
      </c>
      <c r="L180" s="55" t="s">
        <v>641</v>
      </c>
      <c r="M180" s="55" t="s">
        <v>641</v>
      </c>
      <c r="N180" s="55">
        <v>1</v>
      </c>
      <c r="O180" s="55">
        <v>1</v>
      </c>
      <c r="P180" s="55">
        <v>1</v>
      </c>
      <c r="Q180" s="55">
        <v>0</v>
      </c>
      <c r="R180" s="55">
        <v>0</v>
      </c>
      <c r="S180" s="56" t="s">
        <v>377</v>
      </c>
      <c r="T180" s="39"/>
    </row>
    <row r="181" spans="1:20" x14ac:dyDescent="0.15">
      <c r="A181" s="39"/>
      <c r="B181" s="244"/>
      <c r="C181" s="244"/>
      <c r="D181" s="55"/>
      <c r="E181" s="55" t="s">
        <v>182</v>
      </c>
      <c r="F181" s="55">
        <v>14</v>
      </c>
      <c r="G181" s="55" t="s">
        <v>466</v>
      </c>
      <c r="H181" s="55" t="s">
        <v>634</v>
      </c>
      <c r="I181" s="55" t="s">
        <v>637</v>
      </c>
      <c r="J181" s="55" t="s">
        <v>640</v>
      </c>
      <c r="K181" s="55" t="s">
        <v>643</v>
      </c>
      <c r="L181" s="55" t="s">
        <v>641</v>
      </c>
      <c r="M181" s="55" t="s">
        <v>641</v>
      </c>
      <c r="N181" s="55">
        <v>2</v>
      </c>
      <c r="O181" s="55">
        <v>2</v>
      </c>
      <c r="P181" s="55">
        <v>0</v>
      </c>
      <c r="Q181" s="55">
        <v>1</v>
      </c>
      <c r="R181" s="55">
        <v>3</v>
      </c>
      <c r="S181" s="56" t="s">
        <v>377</v>
      </c>
      <c r="T181" s="39"/>
    </row>
    <row r="182" spans="1:20" x14ac:dyDescent="0.15">
      <c r="A182" s="39"/>
      <c r="B182" s="244"/>
      <c r="C182" s="244"/>
      <c r="D182" s="55"/>
      <c r="E182" s="55" t="s">
        <v>186</v>
      </c>
      <c r="F182" s="55">
        <v>14</v>
      </c>
      <c r="G182" s="55" t="s">
        <v>466</v>
      </c>
      <c r="H182" s="55" t="s">
        <v>636</v>
      </c>
      <c r="I182" s="55" t="s">
        <v>638</v>
      </c>
      <c r="J182" s="55" t="s">
        <v>642</v>
      </c>
      <c r="K182" s="55" t="s">
        <v>641</v>
      </c>
      <c r="L182" s="55" t="s">
        <v>641</v>
      </c>
      <c r="M182" s="55" t="s">
        <v>644</v>
      </c>
      <c r="N182" s="55">
        <v>0</v>
      </c>
      <c r="O182" s="55">
        <v>0</v>
      </c>
      <c r="P182" s="55">
        <v>0</v>
      </c>
      <c r="Q182" s="55">
        <v>0</v>
      </c>
      <c r="R182" s="55">
        <v>0</v>
      </c>
      <c r="S182" s="56" t="s">
        <v>259</v>
      </c>
      <c r="T182" s="39"/>
    </row>
    <row r="183" spans="1:20" x14ac:dyDescent="0.15">
      <c r="A183" s="39"/>
      <c r="B183" s="244"/>
      <c r="C183" s="244"/>
      <c r="D183" s="55"/>
      <c r="E183" s="55"/>
      <c r="F183" s="55"/>
      <c r="G183" s="55"/>
      <c r="H183" s="55"/>
      <c r="I183" s="55"/>
      <c r="J183" s="55"/>
      <c r="K183" s="55"/>
      <c r="L183" s="55"/>
      <c r="M183" s="55"/>
      <c r="N183" s="55"/>
      <c r="O183" s="55"/>
      <c r="P183" s="55"/>
      <c r="Q183" s="55"/>
      <c r="R183" s="55"/>
      <c r="S183" s="56"/>
      <c r="T183" s="39"/>
    </row>
    <row r="184" spans="1:20" x14ac:dyDescent="0.15">
      <c r="A184" s="39"/>
      <c r="B184" s="244"/>
      <c r="C184" s="244"/>
      <c r="D184" s="55"/>
      <c r="E184" s="55"/>
      <c r="F184" s="55"/>
      <c r="G184" s="55"/>
      <c r="H184" s="55"/>
      <c r="I184" s="55"/>
      <c r="J184" s="55"/>
      <c r="K184" s="55"/>
      <c r="L184" s="55"/>
      <c r="M184" s="55"/>
      <c r="N184" s="55"/>
      <c r="O184" s="55"/>
      <c r="P184" s="55"/>
      <c r="Q184" s="55"/>
      <c r="R184" s="55"/>
      <c r="S184" s="56"/>
      <c r="T184" s="39"/>
    </row>
    <row r="185" spans="1:20" x14ac:dyDescent="0.15">
      <c r="A185" s="39"/>
      <c r="B185" s="244"/>
      <c r="C185" s="244"/>
      <c r="D185" s="55"/>
      <c r="E185" s="55"/>
      <c r="F185" s="55"/>
      <c r="G185" s="55"/>
      <c r="H185" s="55"/>
      <c r="I185" s="55"/>
      <c r="J185" s="55"/>
      <c r="K185" s="55"/>
      <c r="L185" s="55"/>
      <c r="M185" s="55"/>
      <c r="N185" s="55"/>
      <c r="O185" s="55"/>
      <c r="P185" s="55"/>
      <c r="Q185" s="55"/>
      <c r="R185" s="55"/>
      <c r="S185" s="56"/>
      <c r="T185" s="39"/>
    </row>
    <row r="186" spans="1:20" x14ac:dyDescent="0.15">
      <c r="A186" s="39"/>
      <c r="B186" s="245"/>
      <c r="C186" s="245"/>
      <c r="D186" s="61"/>
      <c r="E186" s="61"/>
      <c r="F186" s="61"/>
      <c r="G186" s="61"/>
      <c r="H186" s="61"/>
      <c r="I186" s="61"/>
      <c r="J186" s="61"/>
      <c r="K186" s="61"/>
      <c r="L186" s="61"/>
      <c r="M186" s="61"/>
      <c r="N186" s="61"/>
      <c r="O186" s="61"/>
      <c r="P186" s="61"/>
      <c r="Q186" s="61"/>
      <c r="R186" s="61"/>
      <c r="S186" s="62"/>
      <c r="T186" s="39"/>
    </row>
    <row r="187" spans="1:20" x14ac:dyDescent="0.15">
      <c r="A187" s="39"/>
      <c r="B187" s="246">
        <v>24</v>
      </c>
      <c r="C187" s="243" t="s">
        <v>431</v>
      </c>
      <c r="D187" s="59" t="s">
        <v>826</v>
      </c>
      <c r="E187" s="59" t="s">
        <v>194</v>
      </c>
      <c r="F187" s="59">
        <v>15</v>
      </c>
      <c r="G187" s="59" t="s">
        <v>910</v>
      </c>
      <c r="H187" s="59" t="s">
        <v>104</v>
      </c>
      <c r="I187" s="59" t="s">
        <v>637</v>
      </c>
      <c r="J187" s="59" t="s">
        <v>639</v>
      </c>
      <c r="K187" s="59" t="s">
        <v>641</v>
      </c>
      <c r="L187" s="59" t="s">
        <v>641</v>
      </c>
      <c r="M187" s="59" t="s">
        <v>641</v>
      </c>
      <c r="N187" s="59">
        <v>0</v>
      </c>
      <c r="O187" s="59">
        <v>0</v>
      </c>
      <c r="P187" s="59">
        <v>0</v>
      </c>
      <c r="Q187" s="59">
        <v>0</v>
      </c>
      <c r="R187" s="59">
        <v>0</v>
      </c>
      <c r="S187" s="60" t="s">
        <v>377</v>
      </c>
      <c r="T187" s="39"/>
    </row>
    <row r="188" spans="1:20" x14ac:dyDescent="0.15">
      <c r="A188" s="39"/>
      <c r="B188" s="244"/>
      <c r="C188" s="244"/>
      <c r="D188" s="55" t="s">
        <v>826</v>
      </c>
      <c r="E188" s="55" t="s">
        <v>184</v>
      </c>
      <c r="F188" s="55">
        <v>15</v>
      </c>
      <c r="G188" s="55" t="s">
        <v>906</v>
      </c>
      <c r="H188" s="55" t="s">
        <v>635</v>
      </c>
      <c r="I188" s="55" t="s">
        <v>637</v>
      </c>
      <c r="J188" s="55" t="s">
        <v>639</v>
      </c>
      <c r="K188" s="55" t="s">
        <v>605</v>
      </c>
      <c r="L188" s="55" t="s">
        <v>907</v>
      </c>
      <c r="M188" s="55" t="s">
        <v>641</v>
      </c>
      <c r="N188" s="55">
        <v>1</v>
      </c>
      <c r="O188" s="55">
        <v>1</v>
      </c>
      <c r="P188" s="55">
        <v>1</v>
      </c>
      <c r="Q188" s="55">
        <v>0</v>
      </c>
      <c r="R188" s="55">
        <v>0</v>
      </c>
      <c r="S188" s="56" t="s">
        <v>377</v>
      </c>
      <c r="T188" s="39"/>
    </row>
    <row r="189" spans="1:20" x14ac:dyDescent="0.15">
      <c r="A189" s="39"/>
      <c r="B189" s="244"/>
      <c r="C189" s="244"/>
      <c r="D189" s="55" t="s">
        <v>826</v>
      </c>
      <c r="E189" s="55" t="s">
        <v>182</v>
      </c>
      <c r="F189" s="55">
        <v>14</v>
      </c>
      <c r="G189" s="55" t="s">
        <v>466</v>
      </c>
      <c r="H189" s="55" t="s">
        <v>634</v>
      </c>
      <c r="I189" s="55" t="s">
        <v>637</v>
      </c>
      <c r="J189" s="55" t="s">
        <v>640</v>
      </c>
      <c r="K189" s="55" t="s">
        <v>643</v>
      </c>
      <c r="L189" s="55" t="s">
        <v>641</v>
      </c>
      <c r="M189" s="55" t="s">
        <v>641</v>
      </c>
      <c r="N189" s="55">
        <v>2</v>
      </c>
      <c r="O189" s="55">
        <v>2</v>
      </c>
      <c r="P189" s="55">
        <v>0</v>
      </c>
      <c r="Q189" s="55">
        <v>1</v>
      </c>
      <c r="R189" s="55">
        <v>3</v>
      </c>
      <c r="S189" s="56" t="s">
        <v>377</v>
      </c>
      <c r="T189" s="39"/>
    </row>
    <row r="190" spans="1:20" x14ac:dyDescent="0.15">
      <c r="A190" s="39"/>
      <c r="B190" s="244"/>
      <c r="C190" s="244"/>
      <c r="D190" s="55" t="s">
        <v>827</v>
      </c>
      <c r="E190" s="55" t="s">
        <v>186</v>
      </c>
      <c r="F190" s="55">
        <v>14</v>
      </c>
      <c r="G190" s="55" t="s">
        <v>466</v>
      </c>
      <c r="H190" s="55" t="s">
        <v>636</v>
      </c>
      <c r="I190" s="55" t="s">
        <v>638</v>
      </c>
      <c r="J190" s="55" t="s">
        <v>642</v>
      </c>
      <c r="K190" s="55" t="s">
        <v>641</v>
      </c>
      <c r="L190" s="55" t="s">
        <v>641</v>
      </c>
      <c r="M190" s="55" t="s">
        <v>644</v>
      </c>
      <c r="N190" s="55">
        <v>0</v>
      </c>
      <c r="O190" s="55">
        <v>0</v>
      </c>
      <c r="P190" s="55">
        <v>0</v>
      </c>
      <c r="Q190" s="55">
        <v>0</v>
      </c>
      <c r="R190" s="55">
        <v>0</v>
      </c>
      <c r="S190" s="56" t="s">
        <v>259</v>
      </c>
      <c r="T190" s="39"/>
    </row>
    <row r="191" spans="1:20" x14ac:dyDescent="0.15">
      <c r="A191" s="39"/>
      <c r="B191" s="244"/>
      <c r="C191" s="244"/>
      <c r="D191" s="55" t="s">
        <v>827</v>
      </c>
      <c r="E191" s="55"/>
      <c r="F191" s="55"/>
      <c r="G191" s="55"/>
      <c r="H191" s="55"/>
      <c r="I191" s="55"/>
      <c r="J191" s="55"/>
      <c r="K191" s="55"/>
      <c r="L191" s="55"/>
      <c r="M191" s="55"/>
      <c r="N191" s="55"/>
      <c r="O191" s="55"/>
      <c r="P191" s="55"/>
      <c r="Q191" s="55"/>
      <c r="R191" s="55"/>
      <c r="S191" s="56"/>
      <c r="T191" s="39"/>
    </row>
    <row r="192" spans="1:20" x14ac:dyDescent="0.15">
      <c r="A192" s="39"/>
      <c r="B192" s="244"/>
      <c r="C192" s="244"/>
      <c r="D192" s="55" t="s">
        <v>827</v>
      </c>
      <c r="E192" s="55"/>
      <c r="F192" s="55"/>
      <c r="G192" s="55"/>
      <c r="H192" s="55"/>
      <c r="I192" s="55"/>
      <c r="J192" s="55"/>
      <c r="K192" s="55"/>
      <c r="L192" s="55"/>
      <c r="M192" s="55"/>
      <c r="N192" s="55"/>
      <c r="O192" s="55"/>
      <c r="P192" s="55"/>
      <c r="Q192" s="55"/>
      <c r="R192" s="55"/>
      <c r="S192" s="56"/>
      <c r="T192" s="39"/>
    </row>
    <row r="193" spans="1:20" x14ac:dyDescent="0.15">
      <c r="A193" s="39"/>
      <c r="B193" s="244"/>
      <c r="C193" s="244"/>
      <c r="D193" s="55"/>
      <c r="E193" s="55"/>
      <c r="F193" s="55"/>
      <c r="G193" s="55"/>
      <c r="H193" s="55"/>
      <c r="I193" s="55"/>
      <c r="J193" s="55"/>
      <c r="K193" s="55"/>
      <c r="L193" s="55"/>
      <c r="M193" s="55"/>
      <c r="N193" s="55"/>
      <c r="O193" s="55"/>
      <c r="P193" s="55"/>
      <c r="Q193" s="55"/>
      <c r="R193" s="55"/>
      <c r="S193" s="56"/>
      <c r="T193" s="39"/>
    </row>
    <row r="194" spans="1:20" x14ac:dyDescent="0.15">
      <c r="A194" s="39"/>
      <c r="B194" s="245"/>
      <c r="C194" s="245"/>
      <c r="D194" s="61"/>
      <c r="E194" s="61"/>
      <c r="F194" s="61"/>
      <c r="G194" s="61"/>
      <c r="H194" s="61"/>
      <c r="I194" s="61"/>
      <c r="J194" s="61"/>
      <c r="K194" s="61"/>
      <c r="L194" s="61"/>
      <c r="M194" s="61"/>
      <c r="N194" s="61"/>
      <c r="O194" s="61"/>
      <c r="P194" s="61"/>
      <c r="Q194" s="61"/>
      <c r="R194" s="61"/>
      <c r="S194" s="62"/>
      <c r="T194" s="39"/>
    </row>
    <row r="195" spans="1:20" x14ac:dyDescent="0.15">
      <c r="A195" s="39"/>
      <c r="B195" s="246">
        <v>25</v>
      </c>
      <c r="C195" s="243" t="s">
        <v>432</v>
      </c>
      <c r="D195" s="59" t="s">
        <v>828</v>
      </c>
      <c r="E195" s="59" t="s">
        <v>807</v>
      </c>
      <c r="F195" s="59">
        <v>15</v>
      </c>
      <c r="G195" s="59" t="s">
        <v>908</v>
      </c>
      <c r="H195" s="59" t="s">
        <v>909</v>
      </c>
      <c r="I195" s="59" t="s">
        <v>893</v>
      </c>
      <c r="J195" s="59" t="s">
        <v>888</v>
      </c>
      <c r="K195" s="59" t="s">
        <v>605</v>
      </c>
      <c r="L195" s="59" t="s">
        <v>907</v>
      </c>
      <c r="M195" s="59" t="s">
        <v>605</v>
      </c>
      <c r="N195" s="59">
        <v>3</v>
      </c>
      <c r="O195" s="59">
        <v>0</v>
      </c>
      <c r="P195" s="59">
        <v>1</v>
      </c>
      <c r="Q195" s="59">
        <v>1</v>
      </c>
      <c r="R195" s="59">
        <v>0</v>
      </c>
      <c r="S195" s="60" t="s">
        <v>377</v>
      </c>
      <c r="T195" s="39"/>
    </row>
    <row r="196" spans="1:20" x14ac:dyDescent="0.15">
      <c r="A196" s="39"/>
      <c r="B196" s="244"/>
      <c r="C196" s="244"/>
      <c r="D196" s="55" t="s">
        <v>828</v>
      </c>
      <c r="E196" s="55" t="s">
        <v>806</v>
      </c>
      <c r="F196" s="55">
        <v>16</v>
      </c>
      <c r="G196" s="55" t="s">
        <v>910</v>
      </c>
      <c r="H196" s="55" t="s">
        <v>889</v>
      </c>
      <c r="I196" s="55" t="s">
        <v>893</v>
      </c>
      <c r="J196" s="55" t="s">
        <v>888</v>
      </c>
      <c r="K196" s="55" t="s">
        <v>605</v>
      </c>
      <c r="L196" s="55" t="s">
        <v>605</v>
      </c>
      <c r="M196" s="55" t="s">
        <v>605</v>
      </c>
      <c r="N196" s="55">
        <v>0</v>
      </c>
      <c r="O196" s="55">
        <v>0</v>
      </c>
      <c r="P196" s="55">
        <v>0</v>
      </c>
      <c r="Q196" s="55">
        <v>0</v>
      </c>
      <c r="R196" s="55">
        <v>0</v>
      </c>
      <c r="S196" s="56" t="s">
        <v>259</v>
      </c>
      <c r="T196" s="39"/>
    </row>
    <row r="197" spans="1:20" x14ac:dyDescent="0.15">
      <c r="A197" s="39"/>
      <c r="B197" s="244"/>
      <c r="C197" s="244"/>
      <c r="D197" s="55" t="s">
        <v>828</v>
      </c>
      <c r="E197" s="55"/>
      <c r="F197" s="55"/>
      <c r="G197" s="55"/>
      <c r="H197" s="55"/>
      <c r="I197" s="55"/>
      <c r="J197" s="55"/>
      <c r="K197" s="55"/>
      <c r="L197" s="55"/>
      <c r="M197" s="55"/>
      <c r="N197" s="55"/>
      <c r="O197" s="55"/>
      <c r="P197" s="55"/>
      <c r="Q197" s="55"/>
      <c r="R197" s="55"/>
      <c r="S197" s="56"/>
      <c r="T197" s="39"/>
    </row>
    <row r="198" spans="1:20" x14ac:dyDescent="0.15">
      <c r="A198" s="39"/>
      <c r="B198" s="244"/>
      <c r="C198" s="244"/>
      <c r="D198" s="55" t="s">
        <v>828</v>
      </c>
      <c r="E198" s="55"/>
      <c r="F198" s="55"/>
      <c r="G198" s="55"/>
      <c r="H198" s="55"/>
      <c r="I198" s="55"/>
      <c r="J198" s="55"/>
      <c r="K198" s="55"/>
      <c r="L198" s="55"/>
      <c r="M198" s="55"/>
      <c r="N198" s="55"/>
      <c r="O198" s="55"/>
      <c r="P198" s="55"/>
      <c r="Q198" s="55"/>
      <c r="R198" s="55"/>
      <c r="S198" s="56"/>
      <c r="T198" s="39"/>
    </row>
    <row r="199" spans="1:20" x14ac:dyDescent="0.15">
      <c r="A199" s="39"/>
      <c r="B199" s="244"/>
      <c r="C199" s="244"/>
      <c r="D199" s="55" t="s">
        <v>828</v>
      </c>
      <c r="E199" s="55"/>
      <c r="F199" s="55"/>
      <c r="G199" s="55"/>
      <c r="H199" s="55"/>
      <c r="I199" s="55"/>
      <c r="J199" s="55"/>
      <c r="K199" s="55"/>
      <c r="L199" s="55"/>
      <c r="M199" s="55"/>
      <c r="N199" s="55"/>
      <c r="O199" s="55"/>
      <c r="P199" s="55"/>
      <c r="Q199" s="55"/>
      <c r="R199" s="55"/>
      <c r="S199" s="56"/>
      <c r="T199" s="39"/>
    </row>
    <row r="200" spans="1:20" x14ac:dyDescent="0.15">
      <c r="A200" s="39"/>
      <c r="B200" s="244"/>
      <c r="C200" s="244"/>
      <c r="D200" s="55"/>
      <c r="E200" s="55"/>
      <c r="F200" s="55"/>
      <c r="G200" s="55"/>
      <c r="H200" s="55"/>
      <c r="I200" s="55"/>
      <c r="J200" s="55"/>
      <c r="K200" s="55"/>
      <c r="L200" s="55"/>
      <c r="M200" s="55"/>
      <c r="N200" s="55"/>
      <c r="O200" s="55"/>
      <c r="P200" s="55"/>
      <c r="Q200" s="55"/>
      <c r="R200" s="55"/>
      <c r="S200" s="56"/>
      <c r="T200" s="39"/>
    </row>
    <row r="201" spans="1:20" x14ac:dyDescent="0.15">
      <c r="A201" s="39"/>
      <c r="B201" s="244"/>
      <c r="C201" s="244"/>
      <c r="D201" s="55"/>
      <c r="E201" s="55"/>
      <c r="F201" s="55"/>
      <c r="G201" s="55"/>
      <c r="H201" s="55"/>
      <c r="I201" s="55"/>
      <c r="J201" s="55"/>
      <c r="K201" s="55"/>
      <c r="L201" s="55"/>
      <c r="M201" s="55"/>
      <c r="N201" s="55"/>
      <c r="O201" s="55"/>
      <c r="P201" s="55"/>
      <c r="Q201" s="55"/>
      <c r="R201" s="55"/>
      <c r="S201" s="56"/>
      <c r="T201" s="39"/>
    </row>
    <row r="202" spans="1:20" x14ac:dyDescent="0.15">
      <c r="A202" s="39"/>
      <c r="B202" s="245"/>
      <c r="C202" s="245"/>
      <c r="D202" s="61"/>
      <c r="E202" s="61"/>
      <c r="F202" s="61"/>
      <c r="G202" s="61"/>
      <c r="H202" s="61"/>
      <c r="I202" s="61"/>
      <c r="J202" s="61"/>
      <c r="K202" s="61"/>
      <c r="L202" s="61"/>
      <c r="M202" s="61"/>
      <c r="N202" s="61"/>
      <c r="O202" s="61"/>
      <c r="P202" s="61"/>
      <c r="Q202" s="61"/>
      <c r="R202" s="61"/>
      <c r="S202" s="62"/>
      <c r="T202" s="39"/>
    </row>
    <row r="203" spans="1:20" x14ac:dyDescent="0.15">
      <c r="A203" s="39"/>
      <c r="B203" s="246">
        <v>26</v>
      </c>
      <c r="C203" s="243" t="s">
        <v>433</v>
      </c>
      <c r="D203" s="59" t="s">
        <v>829</v>
      </c>
      <c r="E203" s="59" t="s">
        <v>807</v>
      </c>
      <c r="F203" s="59">
        <v>16</v>
      </c>
      <c r="G203" s="59" t="s">
        <v>911</v>
      </c>
      <c r="H203" s="59" t="s">
        <v>909</v>
      </c>
      <c r="I203" s="59" t="s">
        <v>893</v>
      </c>
      <c r="J203" s="59" t="s">
        <v>888</v>
      </c>
      <c r="K203" s="59" t="s">
        <v>886</v>
      </c>
      <c r="L203" s="59" t="s">
        <v>907</v>
      </c>
      <c r="M203" s="59" t="s">
        <v>605</v>
      </c>
      <c r="N203" s="59">
        <v>3</v>
      </c>
      <c r="O203" s="59">
        <v>0</v>
      </c>
      <c r="P203" s="59">
        <v>1</v>
      </c>
      <c r="Q203" s="59">
        <v>2</v>
      </c>
      <c r="R203" s="59">
        <v>0</v>
      </c>
      <c r="S203" s="60" t="s">
        <v>377</v>
      </c>
      <c r="T203" s="39"/>
    </row>
    <row r="204" spans="1:20" x14ac:dyDescent="0.15">
      <c r="A204" s="39"/>
      <c r="B204" s="244"/>
      <c r="C204" s="244"/>
      <c r="D204" s="55" t="s">
        <v>829</v>
      </c>
      <c r="E204" s="55" t="s">
        <v>833</v>
      </c>
      <c r="F204" s="55">
        <v>16</v>
      </c>
      <c r="G204" s="55" t="s">
        <v>910</v>
      </c>
      <c r="H204" s="55" t="s">
        <v>889</v>
      </c>
      <c r="I204" s="55" t="s">
        <v>893</v>
      </c>
      <c r="J204" s="55" t="s">
        <v>888</v>
      </c>
      <c r="K204" s="55" t="s">
        <v>886</v>
      </c>
      <c r="L204" s="55" t="s">
        <v>605</v>
      </c>
      <c r="M204" s="55" t="s">
        <v>605</v>
      </c>
      <c r="N204" s="55">
        <v>0</v>
      </c>
      <c r="O204" s="55">
        <v>0</v>
      </c>
      <c r="P204" s="55">
        <v>0</v>
      </c>
      <c r="Q204" s="55">
        <v>0</v>
      </c>
      <c r="R204" s="55">
        <v>0</v>
      </c>
      <c r="S204" s="56" t="s">
        <v>869</v>
      </c>
      <c r="T204" s="39"/>
    </row>
    <row r="205" spans="1:20" x14ac:dyDescent="0.15">
      <c r="A205" s="39"/>
      <c r="B205" s="244"/>
      <c r="C205" s="244"/>
      <c r="D205" s="55" t="s">
        <v>830</v>
      </c>
      <c r="E205" s="55" t="s">
        <v>182</v>
      </c>
      <c r="F205" s="55">
        <v>16</v>
      </c>
      <c r="G205" s="55" t="s">
        <v>605</v>
      </c>
      <c r="H205" s="55" t="s">
        <v>912</v>
      </c>
      <c r="I205" s="55" t="s">
        <v>913</v>
      </c>
      <c r="J205" s="55" t="s">
        <v>894</v>
      </c>
      <c r="K205" s="55" t="s">
        <v>704</v>
      </c>
      <c r="L205" s="55" t="s">
        <v>605</v>
      </c>
      <c r="M205" s="55" t="s">
        <v>605</v>
      </c>
      <c r="N205" s="55">
        <v>2</v>
      </c>
      <c r="O205" s="55">
        <v>2</v>
      </c>
      <c r="P205" s="55">
        <v>0</v>
      </c>
      <c r="Q205" s="55">
        <v>1</v>
      </c>
      <c r="R205" s="55">
        <v>5</v>
      </c>
      <c r="S205" s="56" t="s">
        <v>903</v>
      </c>
      <c r="T205" s="39"/>
    </row>
    <row r="206" spans="1:20" x14ac:dyDescent="0.15">
      <c r="A206" s="39"/>
      <c r="B206" s="244"/>
      <c r="C206" s="244"/>
      <c r="D206" s="55" t="s">
        <v>830</v>
      </c>
      <c r="E206" s="55" t="s">
        <v>834</v>
      </c>
      <c r="F206" s="55">
        <v>12</v>
      </c>
      <c r="G206" s="55" t="s">
        <v>900</v>
      </c>
      <c r="H206" s="55" t="s">
        <v>901</v>
      </c>
      <c r="I206" s="55" t="s">
        <v>605</v>
      </c>
      <c r="J206" s="55" t="s">
        <v>914</v>
      </c>
      <c r="K206" s="55" t="s">
        <v>605</v>
      </c>
      <c r="L206" s="55" t="s">
        <v>605</v>
      </c>
      <c r="M206" s="55" t="s">
        <v>605</v>
      </c>
      <c r="N206" s="55">
        <v>0</v>
      </c>
      <c r="O206" s="55">
        <v>2</v>
      </c>
      <c r="P206" s="55">
        <v>0</v>
      </c>
      <c r="Q206" s="55">
        <v>0</v>
      </c>
      <c r="R206" s="55">
        <v>0</v>
      </c>
      <c r="S206" s="56" t="s">
        <v>869</v>
      </c>
      <c r="T206" s="39"/>
    </row>
    <row r="207" spans="1:20" x14ac:dyDescent="0.15">
      <c r="A207" s="39"/>
      <c r="B207" s="244"/>
      <c r="C207" s="244"/>
      <c r="D207" s="55" t="s">
        <v>831</v>
      </c>
      <c r="E207" s="55"/>
      <c r="F207" s="55"/>
      <c r="G207" s="55"/>
      <c r="H207" s="55"/>
      <c r="I207" s="55"/>
      <c r="J207" s="55"/>
      <c r="K207" s="55"/>
      <c r="L207" s="55"/>
      <c r="M207" s="55"/>
      <c r="N207" s="55"/>
      <c r="O207" s="55"/>
      <c r="P207" s="55"/>
      <c r="Q207" s="55"/>
      <c r="R207" s="55"/>
      <c r="S207" s="56"/>
      <c r="T207" s="39"/>
    </row>
    <row r="208" spans="1:20" x14ac:dyDescent="0.15">
      <c r="A208" s="39"/>
      <c r="B208" s="244"/>
      <c r="C208" s="244"/>
      <c r="D208" s="55" t="s">
        <v>831</v>
      </c>
      <c r="E208" s="55"/>
      <c r="F208" s="55"/>
      <c r="G208" s="55"/>
      <c r="H208" s="55"/>
      <c r="I208" s="55"/>
      <c r="J208" s="55"/>
      <c r="K208" s="55"/>
      <c r="L208" s="55"/>
      <c r="M208" s="55"/>
      <c r="N208" s="55"/>
      <c r="O208" s="55"/>
      <c r="P208" s="55"/>
      <c r="Q208" s="55"/>
      <c r="R208" s="55"/>
      <c r="S208" s="56"/>
      <c r="T208" s="39"/>
    </row>
    <row r="209" spans="1:20" x14ac:dyDescent="0.15">
      <c r="A209" s="39"/>
      <c r="B209" s="244"/>
      <c r="C209" s="244"/>
      <c r="D209" s="55" t="s">
        <v>832</v>
      </c>
      <c r="E209" s="55"/>
      <c r="F209" s="55"/>
      <c r="G209" s="55"/>
      <c r="H209" s="55"/>
      <c r="I209" s="55"/>
      <c r="J209" s="55"/>
      <c r="K209" s="55"/>
      <c r="L209" s="55"/>
      <c r="M209" s="55"/>
      <c r="N209" s="55"/>
      <c r="O209" s="55"/>
      <c r="P209" s="55"/>
      <c r="Q209" s="55"/>
      <c r="R209" s="55"/>
      <c r="S209" s="56"/>
      <c r="T209" s="39"/>
    </row>
    <row r="210" spans="1:20" x14ac:dyDescent="0.15">
      <c r="A210" s="39"/>
      <c r="B210" s="245"/>
      <c r="C210" s="245"/>
      <c r="D210" s="61" t="s">
        <v>832</v>
      </c>
      <c r="E210" s="61"/>
      <c r="F210" s="61"/>
      <c r="G210" s="61"/>
      <c r="H210" s="61"/>
      <c r="I210" s="61"/>
      <c r="J210" s="61"/>
      <c r="K210" s="61"/>
      <c r="L210" s="61"/>
      <c r="M210" s="61"/>
      <c r="N210" s="61"/>
      <c r="O210" s="61"/>
      <c r="P210" s="61"/>
      <c r="Q210" s="61"/>
      <c r="R210" s="61"/>
      <c r="S210" s="62"/>
      <c r="T210" s="39"/>
    </row>
    <row r="211" spans="1:20" x14ac:dyDescent="0.15">
      <c r="A211" s="39"/>
      <c r="B211" s="246">
        <v>27</v>
      </c>
      <c r="C211" s="243" t="s">
        <v>434</v>
      </c>
      <c r="D211" s="59" t="s">
        <v>761</v>
      </c>
      <c r="E211" s="59" t="s">
        <v>807</v>
      </c>
      <c r="F211" s="59">
        <v>17</v>
      </c>
      <c r="G211" s="59" t="s">
        <v>911</v>
      </c>
      <c r="H211" s="59" t="s">
        <v>909</v>
      </c>
      <c r="I211" s="59" t="s">
        <v>893</v>
      </c>
      <c r="J211" s="59" t="s">
        <v>888</v>
      </c>
      <c r="K211" s="59" t="s">
        <v>886</v>
      </c>
      <c r="L211" s="59" t="s">
        <v>907</v>
      </c>
      <c r="M211" s="59" t="s">
        <v>605</v>
      </c>
      <c r="N211" s="59">
        <v>3</v>
      </c>
      <c r="O211" s="59">
        <v>0</v>
      </c>
      <c r="P211" s="59">
        <v>1</v>
      </c>
      <c r="Q211" s="59">
        <v>2</v>
      </c>
      <c r="R211" s="59">
        <v>0</v>
      </c>
      <c r="S211" s="60" t="s">
        <v>377</v>
      </c>
      <c r="T211" s="39"/>
    </row>
    <row r="212" spans="1:20" x14ac:dyDescent="0.15">
      <c r="A212" s="39"/>
      <c r="B212" s="244"/>
      <c r="C212" s="244"/>
      <c r="D212" s="55"/>
      <c r="E212" s="55" t="s">
        <v>806</v>
      </c>
      <c r="F212" s="55">
        <v>17</v>
      </c>
      <c r="G212" s="55" t="s">
        <v>910</v>
      </c>
      <c r="H212" s="55" t="s">
        <v>889</v>
      </c>
      <c r="I212" s="55" t="s">
        <v>893</v>
      </c>
      <c r="J212" s="55" t="s">
        <v>888</v>
      </c>
      <c r="K212" s="55" t="s">
        <v>886</v>
      </c>
      <c r="L212" s="55" t="s">
        <v>605</v>
      </c>
      <c r="M212" s="55" t="s">
        <v>605</v>
      </c>
      <c r="N212" s="55">
        <v>0</v>
      </c>
      <c r="O212" s="55">
        <v>0</v>
      </c>
      <c r="P212" s="55">
        <v>0</v>
      </c>
      <c r="Q212" s="55">
        <v>0</v>
      </c>
      <c r="R212" s="55">
        <v>0</v>
      </c>
      <c r="S212" s="56" t="s">
        <v>869</v>
      </c>
      <c r="T212" s="39"/>
    </row>
    <row r="213" spans="1:20" x14ac:dyDescent="0.15">
      <c r="A213" s="39"/>
      <c r="B213" s="244"/>
      <c r="C213" s="244"/>
      <c r="D213" s="55"/>
      <c r="E213" s="55" t="s">
        <v>182</v>
      </c>
      <c r="F213" s="55">
        <v>17</v>
      </c>
      <c r="G213" s="55" t="s">
        <v>605</v>
      </c>
      <c r="H213" s="55" t="s">
        <v>912</v>
      </c>
      <c r="I213" s="55" t="s">
        <v>913</v>
      </c>
      <c r="J213" s="55" t="s">
        <v>894</v>
      </c>
      <c r="K213" s="55" t="s">
        <v>704</v>
      </c>
      <c r="L213" s="55" t="s">
        <v>605</v>
      </c>
      <c r="M213" s="55" t="s">
        <v>605</v>
      </c>
      <c r="N213" s="55">
        <v>2</v>
      </c>
      <c r="O213" s="55">
        <v>2</v>
      </c>
      <c r="P213" s="55">
        <v>0</v>
      </c>
      <c r="Q213" s="55">
        <v>1</v>
      </c>
      <c r="R213" s="55">
        <v>5</v>
      </c>
      <c r="S213" s="56" t="s">
        <v>903</v>
      </c>
      <c r="T213" s="39"/>
    </row>
    <row r="214" spans="1:20" x14ac:dyDescent="0.15">
      <c r="A214" s="39"/>
      <c r="B214" s="244"/>
      <c r="C214" s="244"/>
      <c r="D214" s="55"/>
      <c r="E214" s="55" t="s">
        <v>835</v>
      </c>
      <c r="F214" s="55">
        <v>13</v>
      </c>
      <c r="G214" s="55" t="s">
        <v>900</v>
      </c>
      <c r="H214" s="55" t="s">
        <v>901</v>
      </c>
      <c r="I214" s="55" t="s">
        <v>605</v>
      </c>
      <c r="J214" s="55" t="s">
        <v>914</v>
      </c>
      <c r="K214" s="55" t="s">
        <v>605</v>
      </c>
      <c r="L214" s="55" t="s">
        <v>605</v>
      </c>
      <c r="M214" s="55" t="s">
        <v>605</v>
      </c>
      <c r="N214" s="55">
        <v>0</v>
      </c>
      <c r="O214" s="55">
        <v>2</v>
      </c>
      <c r="P214" s="55">
        <v>0</v>
      </c>
      <c r="Q214" s="55">
        <v>0</v>
      </c>
      <c r="R214" s="55">
        <v>0</v>
      </c>
      <c r="S214" s="56" t="s">
        <v>869</v>
      </c>
      <c r="T214" s="39"/>
    </row>
    <row r="215" spans="1:20" x14ac:dyDescent="0.15">
      <c r="A215" s="39"/>
      <c r="B215" s="244"/>
      <c r="C215" s="244"/>
      <c r="D215" s="55"/>
      <c r="E215" s="55"/>
      <c r="F215" s="55"/>
      <c r="G215" s="55"/>
      <c r="H215" s="55"/>
      <c r="I215" s="55"/>
      <c r="J215" s="55"/>
      <c r="K215" s="55"/>
      <c r="L215" s="55"/>
      <c r="M215" s="55"/>
      <c r="N215" s="55"/>
      <c r="O215" s="55"/>
      <c r="P215" s="55"/>
      <c r="Q215" s="55"/>
      <c r="R215" s="55"/>
      <c r="S215" s="56"/>
      <c r="T215" s="39"/>
    </row>
    <row r="216" spans="1:20" x14ac:dyDescent="0.15">
      <c r="A216" s="39"/>
      <c r="B216" s="244"/>
      <c r="C216" s="244"/>
      <c r="D216" s="55"/>
      <c r="E216" s="55"/>
      <c r="F216" s="55"/>
      <c r="G216" s="55"/>
      <c r="H216" s="55"/>
      <c r="I216" s="55"/>
      <c r="J216" s="55"/>
      <c r="K216" s="55"/>
      <c r="L216" s="55"/>
      <c r="M216" s="55"/>
      <c r="N216" s="55"/>
      <c r="O216" s="55"/>
      <c r="P216" s="55"/>
      <c r="Q216" s="55"/>
      <c r="R216" s="55"/>
      <c r="S216" s="56"/>
      <c r="T216" s="39"/>
    </row>
    <row r="217" spans="1:20" x14ac:dyDescent="0.15">
      <c r="A217" s="39"/>
      <c r="B217" s="244"/>
      <c r="C217" s="244"/>
      <c r="D217" s="55"/>
      <c r="E217" s="55"/>
      <c r="F217" s="55"/>
      <c r="G217" s="55"/>
      <c r="H217" s="55"/>
      <c r="I217" s="55"/>
      <c r="J217" s="55"/>
      <c r="K217" s="55"/>
      <c r="L217" s="55"/>
      <c r="M217" s="55"/>
      <c r="N217" s="55"/>
      <c r="O217" s="55"/>
      <c r="P217" s="55"/>
      <c r="Q217" s="55"/>
      <c r="R217" s="55"/>
      <c r="S217" s="56"/>
      <c r="T217" s="39"/>
    </row>
    <row r="218" spans="1:20" x14ac:dyDescent="0.15">
      <c r="A218" s="39"/>
      <c r="B218" s="245"/>
      <c r="C218" s="245"/>
      <c r="D218" s="61"/>
      <c r="E218" s="61"/>
      <c r="F218" s="61"/>
      <c r="G218" s="61"/>
      <c r="H218" s="61"/>
      <c r="I218" s="61"/>
      <c r="J218" s="61"/>
      <c r="K218" s="61"/>
      <c r="L218" s="61"/>
      <c r="M218" s="61"/>
      <c r="N218" s="61"/>
      <c r="O218" s="61"/>
      <c r="P218" s="61"/>
      <c r="Q218" s="61"/>
      <c r="R218" s="61"/>
      <c r="S218" s="62"/>
      <c r="T218" s="39"/>
    </row>
    <row r="219" spans="1:20" x14ac:dyDescent="0.15">
      <c r="A219" s="39"/>
      <c r="B219" s="246">
        <v>28</v>
      </c>
      <c r="C219" s="243" t="s">
        <v>435</v>
      </c>
      <c r="D219" s="59" t="s">
        <v>836</v>
      </c>
      <c r="E219" s="59" t="s">
        <v>807</v>
      </c>
      <c r="F219" s="59">
        <v>18</v>
      </c>
      <c r="G219" s="59" t="s">
        <v>911</v>
      </c>
      <c r="H219" s="59" t="s">
        <v>909</v>
      </c>
      <c r="I219" s="59" t="s">
        <v>918</v>
      </c>
      <c r="J219" s="59" t="s">
        <v>919</v>
      </c>
      <c r="K219" s="59" t="s">
        <v>886</v>
      </c>
      <c r="L219" s="59" t="s">
        <v>907</v>
      </c>
      <c r="M219" s="59" t="s">
        <v>605</v>
      </c>
      <c r="N219" s="59">
        <v>3</v>
      </c>
      <c r="O219" s="59">
        <v>0</v>
      </c>
      <c r="P219" s="59">
        <v>1</v>
      </c>
      <c r="Q219" s="59">
        <v>2</v>
      </c>
      <c r="R219" s="59">
        <v>0</v>
      </c>
      <c r="S219" s="60" t="s">
        <v>377</v>
      </c>
      <c r="T219" s="39"/>
    </row>
    <row r="220" spans="1:20" x14ac:dyDescent="0.15">
      <c r="A220" s="39"/>
      <c r="B220" s="244"/>
      <c r="C220" s="244"/>
      <c r="D220" s="55" t="s">
        <v>836</v>
      </c>
      <c r="E220" s="55" t="s">
        <v>806</v>
      </c>
      <c r="F220" s="55">
        <v>17</v>
      </c>
      <c r="G220" s="55" t="s">
        <v>910</v>
      </c>
      <c r="H220" s="55" t="s">
        <v>889</v>
      </c>
      <c r="I220" s="55" t="s">
        <v>893</v>
      </c>
      <c r="J220" s="55" t="s">
        <v>888</v>
      </c>
      <c r="K220" s="55" t="s">
        <v>886</v>
      </c>
      <c r="L220" s="55" t="s">
        <v>605</v>
      </c>
      <c r="M220" s="55" t="s">
        <v>917</v>
      </c>
      <c r="N220" s="55">
        <v>0</v>
      </c>
      <c r="O220" s="55">
        <v>0</v>
      </c>
      <c r="P220" s="55">
        <v>0</v>
      </c>
      <c r="Q220" s="55">
        <v>0</v>
      </c>
      <c r="R220" s="55">
        <v>0</v>
      </c>
      <c r="S220" s="56" t="s">
        <v>869</v>
      </c>
      <c r="T220" s="39"/>
    </row>
    <row r="221" spans="1:20" x14ac:dyDescent="0.15">
      <c r="A221" s="39"/>
      <c r="B221" s="244"/>
      <c r="C221" s="244"/>
      <c r="D221" s="55" t="s">
        <v>836</v>
      </c>
      <c r="E221" s="55" t="s">
        <v>182</v>
      </c>
      <c r="F221" s="55">
        <v>17</v>
      </c>
      <c r="G221" s="55" t="s">
        <v>915</v>
      </c>
      <c r="H221" s="55" t="s">
        <v>912</v>
      </c>
      <c r="I221" s="55" t="s">
        <v>913</v>
      </c>
      <c r="J221" s="55" t="s">
        <v>916</v>
      </c>
      <c r="K221" s="55" t="s">
        <v>704</v>
      </c>
      <c r="L221" s="55" t="s">
        <v>605</v>
      </c>
      <c r="M221" s="55" t="s">
        <v>605</v>
      </c>
      <c r="N221" s="55">
        <v>2</v>
      </c>
      <c r="O221" s="55">
        <v>2</v>
      </c>
      <c r="P221" s="55">
        <v>0</v>
      </c>
      <c r="Q221" s="55">
        <v>1</v>
      </c>
      <c r="R221" s="55">
        <v>5</v>
      </c>
      <c r="S221" s="56" t="s">
        <v>870</v>
      </c>
      <c r="T221" s="39"/>
    </row>
    <row r="222" spans="1:20" x14ac:dyDescent="0.15">
      <c r="A222" s="39"/>
      <c r="B222" s="244"/>
      <c r="C222" s="244"/>
      <c r="D222" s="55" t="s">
        <v>836</v>
      </c>
      <c r="E222" s="55" t="s">
        <v>835</v>
      </c>
      <c r="F222" s="55">
        <v>14</v>
      </c>
      <c r="G222" s="55" t="s">
        <v>900</v>
      </c>
      <c r="H222" s="55" t="s">
        <v>901</v>
      </c>
      <c r="I222" s="55" t="s">
        <v>605</v>
      </c>
      <c r="J222" s="55" t="s">
        <v>914</v>
      </c>
      <c r="K222" s="55" t="s">
        <v>605</v>
      </c>
      <c r="L222" s="55" t="s">
        <v>605</v>
      </c>
      <c r="M222" s="55" t="s">
        <v>605</v>
      </c>
      <c r="N222" s="55">
        <v>0</v>
      </c>
      <c r="O222" s="55">
        <v>2</v>
      </c>
      <c r="P222" s="55">
        <v>0</v>
      </c>
      <c r="Q222" s="55">
        <v>0</v>
      </c>
      <c r="R222" s="55">
        <v>0</v>
      </c>
      <c r="S222" s="56" t="s">
        <v>869</v>
      </c>
      <c r="T222" s="39"/>
    </row>
    <row r="223" spans="1:20" x14ac:dyDescent="0.15">
      <c r="A223" s="39"/>
      <c r="B223" s="244"/>
      <c r="C223" s="244"/>
      <c r="D223" s="55"/>
      <c r="E223" s="55"/>
      <c r="F223" s="55"/>
      <c r="G223" s="55"/>
      <c r="H223" s="55"/>
      <c r="I223" s="55"/>
      <c r="J223" s="55"/>
      <c r="K223" s="55"/>
      <c r="L223" s="55"/>
      <c r="M223" s="55"/>
      <c r="N223" s="55"/>
      <c r="O223" s="55"/>
      <c r="P223" s="55"/>
      <c r="Q223" s="55"/>
      <c r="R223" s="55"/>
      <c r="S223" s="56"/>
      <c r="T223" s="39"/>
    </row>
    <row r="224" spans="1:20" x14ac:dyDescent="0.15">
      <c r="A224" s="39"/>
      <c r="B224" s="244"/>
      <c r="C224" s="244"/>
      <c r="D224" s="55"/>
      <c r="E224" s="55"/>
      <c r="F224" s="55"/>
      <c r="G224" s="55"/>
      <c r="H224" s="55"/>
      <c r="I224" s="55"/>
      <c r="J224" s="55"/>
      <c r="K224" s="55"/>
      <c r="L224" s="55"/>
      <c r="M224" s="55"/>
      <c r="N224" s="55"/>
      <c r="O224" s="55"/>
      <c r="P224" s="55"/>
      <c r="Q224" s="55"/>
      <c r="R224" s="55"/>
      <c r="S224" s="56"/>
      <c r="T224" s="39"/>
    </row>
    <row r="225" spans="1:20" x14ac:dyDescent="0.15">
      <c r="A225" s="39"/>
      <c r="B225" s="244"/>
      <c r="C225" s="244"/>
      <c r="D225" s="55"/>
      <c r="E225" s="55"/>
      <c r="F225" s="55"/>
      <c r="G225" s="55"/>
      <c r="H225" s="55"/>
      <c r="I225" s="55"/>
      <c r="J225" s="55"/>
      <c r="K225" s="55"/>
      <c r="L225" s="55"/>
      <c r="M225" s="55"/>
      <c r="N225" s="55"/>
      <c r="O225" s="55"/>
      <c r="P225" s="55"/>
      <c r="Q225" s="55"/>
      <c r="R225" s="55"/>
      <c r="S225" s="56"/>
      <c r="T225" s="39"/>
    </row>
    <row r="226" spans="1:20" x14ac:dyDescent="0.15">
      <c r="A226" s="39"/>
      <c r="B226" s="245"/>
      <c r="C226" s="245"/>
      <c r="D226" s="61"/>
      <c r="E226" s="61"/>
      <c r="F226" s="61"/>
      <c r="G226" s="61"/>
      <c r="H226" s="61"/>
      <c r="I226" s="61"/>
      <c r="J226" s="61"/>
      <c r="K226" s="61"/>
      <c r="L226" s="61"/>
      <c r="M226" s="61"/>
      <c r="N226" s="61"/>
      <c r="O226" s="61"/>
      <c r="P226" s="61"/>
      <c r="Q226" s="61"/>
      <c r="R226" s="61"/>
      <c r="S226" s="62"/>
      <c r="T226" s="39"/>
    </row>
    <row r="227" spans="1:20" x14ac:dyDescent="0.15">
      <c r="A227" s="39"/>
      <c r="B227" s="246">
        <v>29</v>
      </c>
      <c r="C227" s="243" t="s">
        <v>436</v>
      </c>
      <c r="D227" s="59" t="s">
        <v>837</v>
      </c>
      <c r="E227" s="59" t="s">
        <v>807</v>
      </c>
      <c r="F227" s="59">
        <v>18</v>
      </c>
      <c r="G227" s="59" t="s">
        <v>920</v>
      </c>
      <c r="H227" s="59" t="s">
        <v>909</v>
      </c>
      <c r="I227" s="59" t="s">
        <v>918</v>
      </c>
      <c r="J227" s="59" t="s">
        <v>919</v>
      </c>
      <c r="K227" s="59" t="s">
        <v>704</v>
      </c>
      <c r="L227" s="59" t="s">
        <v>605</v>
      </c>
      <c r="M227" s="59" t="s">
        <v>605</v>
      </c>
      <c r="N227" s="59">
        <v>4</v>
      </c>
      <c r="O227" s="59">
        <v>0</v>
      </c>
      <c r="P227" s="59">
        <v>1</v>
      </c>
      <c r="Q227" s="59">
        <v>2</v>
      </c>
      <c r="R227" s="59">
        <v>0</v>
      </c>
      <c r="S227" s="60" t="s">
        <v>377</v>
      </c>
      <c r="T227" s="39"/>
    </row>
    <row r="228" spans="1:20" x14ac:dyDescent="0.15">
      <c r="A228" s="39"/>
      <c r="B228" s="244"/>
      <c r="C228" s="244"/>
      <c r="D228" s="55" t="s">
        <v>837</v>
      </c>
      <c r="E228" s="55" t="s">
        <v>806</v>
      </c>
      <c r="F228" s="55">
        <v>17</v>
      </c>
      <c r="G228" s="55" t="s">
        <v>911</v>
      </c>
      <c r="H228" s="55" t="s">
        <v>889</v>
      </c>
      <c r="I228" s="55" t="s">
        <v>893</v>
      </c>
      <c r="J228" s="55" t="s">
        <v>888</v>
      </c>
      <c r="K228" s="55" t="s">
        <v>886</v>
      </c>
      <c r="L228" s="55" t="s">
        <v>605</v>
      </c>
      <c r="M228" s="55" t="s">
        <v>917</v>
      </c>
      <c r="N228" s="55">
        <v>0</v>
      </c>
      <c r="O228" s="55">
        <v>0</v>
      </c>
      <c r="P228" s="55">
        <v>0</v>
      </c>
      <c r="Q228" s="55">
        <v>0</v>
      </c>
      <c r="R228" s="55">
        <v>0</v>
      </c>
      <c r="S228" s="56" t="s">
        <v>869</v>
      </c>
      <c r="T228" s="39"/>
    </row>
    <row r="229" spans="1:20" x14ac:dyDescent="0.15">
      <c r="A229" s="39"/>
      <c r="B229" s="244"/>
      <c r="C229" s="244"/>
      <c r="D229" s="55" t="s">
        <v>837</v>
      </c>
      <c r="E229" s="55" t="s">
        <v>182</v>
      </c>
      <c r="F229" s="55">
        <v>17</v>
      </c>
      <c r="G229" s="55" t="s">
        <v>915</v>
      </c>
      <c r="H229" s="55" t="s">
        <v>912</v>
      </c>
      <c r="I229" s="55" t="s">
        <v>913</v>
      </c>
      <c r="J229" s="55" t="s">
        <v>916</v>
      </c>
      <c r="K229" s="55" t="s">
        <v>898</v>
      </c>
      <c r="L229" s="55" t="s">
        <v>907</v>
      </c>
      <c r="M229" s="55" t="s">
        <v>605</v>
      </c>
      <c r="N229" s="55">
        <v>2</v>
      </c>
      <c r="O229" s="55">
        <v>2</v>
      </c>
      <c r="P229" s="55">
        <v>0</v>
      </c>
      <c r="Q229" s="55">
        <v>1</v>
      </c>
      <c r="R229" s="55">
        <v>5</v>
      </c>
      <c r="S229" s="56" t="s">
        <v>870</v>
      </c>
      <c r="T229" s="39"/>
    </row>
    <row r="230" spans="1:20" x14ac:dyDescent="0.15">
      <c r="A230" s="39"/>
      <c r="B230" s="244"/>
      <c r="C230" s="244"/>
      <c r="D230" s="55" t="s">
        <v>838</v>
      </c>
      <c r="E230" s="55" t="s">
        <v>835</v>
      </c>
      <c r="F230" s="55">
        <v>14</v>
      </c>
      <c r="G230" s="55" t="s">
        <v>900</v>
      </c>
      <c r="H230" s="55" t="s">
        <v>901</v>
      </c>
      <c r="I230" s="55" t="s">
        <v>605</v>
      </c>
      <c r="J230" s="55" t="s">
        <v>914</v>
      </c>
      <c r="K230" s="55" t="s">
        <v>605</v>
      </c>
      <c r="L230" s="55" t="s">
        <v>605</v>
      </c>
      <c r="M230" s="55" t="s">
        <v>605</v>
      </c>
      <c r="N230" s="55">
        <v>0</v>
      </c>
      <c r="O230" s="55">
        <v>2</v>
      </c>
      <c r="P230" s="55">
        <v>0</v>
      </c>
      <c r="Q230" s="55">
        <v>0</v>
      </c>
      <c r="R230" s="55">
        <v>0</v>
      </c>
      <c r="S230" s="56" t="s">
        <v>869</v>
      </c>
      <c r="T230" s="39"/>
    </row>
    <row r="231" spans="1:20" x14ac:dyDescent="0.15">
      <c r="A231" s="39"/>
      <c r="B231" s="244"/>
      <c r="C231" s="244"/>
      <c r="D231" s="55" t="s">
        <v>838</v>
      </c>
      <c r="E231" s="55"/>
      <c r="F231" s="55"/>
      <c r="G231" s="55"/>
      <c r="H231" s="55"/>
      <c r="I231" s="55"/>
      <c r="J231" s="55"/>
      <c r="K231" s="55"/>
      <c r="L231" s="55"/>
      <c r="M231" s="55"/>
      <c r="N231" s="55"/>
      <c r="O231" s="55"/>
      <c r="P231" s="55"/>
      <c r="Q231" s="55"/>
      <c r="R231" s="55"/>
      <c r="S231" s="56"/>
      <c r="T231" s="39"/>
    </row>
    <row r="232" spans="1:20" x14ac:dyDescent="0.15">
      <c r="A232" s="39"/>
      <c r="B232" s="244"/>
      <c r="C232" s="244"/>
      <c r="D232" s="55"/>
      <c r="E232" s="55"/>
      <c r="F232" s="55"/>
      <c r="G232" s="55"/>
      <c r="H232" s="55"/>
      <c r="I232" s="55"/>
      <c r="J232" s="55"/>
      <c r="K232" s="55"/>
      <c r="L232" s="55"/>
      <c r="M232" s="55"/>
      <c r="N232" s="55"/>
      <c r="O232" s="55"/>
      <c r="P232" s="55"/>
      <c r="Q232" s="55"/>
      <c r="R232" s="55"/>
      <c r="S232" s="56"/>
      <c r="T232" s="39"/>
    </row>
    <row r="233" spans="1:20" x14ac:dyDescent="0.15">
      <c r="A233" s="39"/>
      <c r="B233" s="244"/>
      <c r="C233" s="244"/>
      <c r="D233" s="55"/>
      <c r="E233" s="55"/>
      <c r="F233" s="55"/>
      <c r="G233" s="55"/>
      <c r="H233" s="55"/>
      <c r="I233" s="55"/>
      <c r="J233" s="55"/>
      <c r="K233" s="55"/>
      <c r="L233" s="55"/>
      <c r="M233" s="55"/>
      <c r="N233" s="55"/>
      <c r="O233" s="55"/>
      <c r="P233" s="55"/>
      <c r="Q233" s="55"/>
      <c r="R233" s="55"/>
      <c r="S233" s="56"/>
      <c r="T233" s="39"/>
    </row>
    <row r="234" spans="1:20" x14ac:dyDescent="0.15">
      <c r="A234" s="39"/>
      <c r="B234" s="245"/>
      <c r="C234" s="245"/>
      <c r="D234" s="61"/>
      <c r="E234" s="61"/>
      <c r="F234" s="61"/>
      <c r="G234" s="61"/>
      <c r="H234" s="61"/>
      <c r="I234" s="61"/>
      <c r="J234" s="61"/>
      <c r="K234" s="61"/>
      <c r="L234" s="61"/>
      <c r="M234" s="61"/>
      <c r="N234" s="61"/>
      <c r="O234" s="61"/>
      <c r="P234" s="61"/>
      <c r="Q234" s="61"/>
      <c r="R234" s="61"/>
      <c r="S234" s="62"/>
      <c r="T234" s="39"/>
    </row>
    <row r="235" spans="1:20" x14ac:dyDescent="0.15">
      <c r="A235" s="39"/>
      <c r="B235" s="246">
        <v>30</v>
      </c>
      <c r="C235" s="243" t="s">
        <v>437</v>
      </c>
      <c r="D235" s="59" t="s">
        <v>839</v>
      </c>
      <c r="E235" s="59" t="s">
        <v>807</v>
      </c>
      <c r="F235" s="59">
        <v>18</v>
      </c>
      <c r="G235" s="59" t="s">
        <v>920</v>
      </c>
      <c r="H235" s="59" t="s">
        <v>909</v>
      </c>
      <c r="I235" s="59" t="s">
        <v>918</v>
      </c>
      <c r="J235" s="59" t="s">
        <v>919</v>
      </c>
      <c r="K235" s="59" t="s">
        <v>704</v>
      </c>
      <c r="L235" s="59" t="s">
        <v>605</v>
      </c>
      <c r="M235" s="59" t="s">
        <v>605</v>
      </c>
      <c r="N235" s="59">
        <v>4</v>
      </c>
      <c r="O235" s="59">
        <v>0</v>
      </c>
      <c r="P235" s="59">
        <v>1</v>
      </c>
      <c r="Q235" s="59">
        <v>2</v>
      </c>
      <c r="R235" s="59">
        <v>0</v>
      </c>
      <c r="S235" s="60" t="s">
        <v>377</v>
      </c>
      <c r="T235" s="39"/>
    </row>
    <row r="236" spans="1:20" x14ac:dyDescent="0.15">
      <c r="A236" s="39"/>
      <c r="B236" s="244"/>
      <c r="C236" s="244"/>
      <c r="D236" s="55" t="s">
        <v>839</v>
      </c>
      <c r="E236" s="55" t="s">
        <v>806</v>
      </c>
      <c r="F236" s="55">
        <v>18</v>
      </c>
      <c r="G236" s="55" t="s">
        <v>911</v>
      </c>
      <c r="H236" s="55" t="s">
        <v>889</v>
      </c>
      <c r="I236" s="55" t="s">
        <v>893</v>
      </c>
      <c r="J236" s="55" t="s">
        <v>888</v>
      </c>
      <c r="K236" s="55" t="s">
        <v>886</v>
      </c>
      <c r="L236" s="55" t="s">
        <v>605</v>
      </c>
      <c r="M236" s="55" t="s">
        <v>917</v>
      </c>
      <c r="N236" s="55">
        <v>0</v>
      </c>
      <c r="O236" s="55">
        <v>0</v>
      </c>
      <c r="P236" s="55">
        <v>0</v>
      </c>
      <c r="Q236" s="55">
        <v>0</v>
      </c>
      <c r="R236" s="55">
        <v>0</v>
      </c>
      <c r="S236" s="56" t="s">
        <v>869</v>
      </c>
      <c r="T236" s="39"/>
    </row>
    <row r="237" spans="1:20" x14ac:dyDescent="0.15">
      <c r="A237" s="39"/>
      <c r="B237" s="244"/>
      <c r="C237" s="244"/>
      <c r="D237" s="55" t="s">
        <v>839</v>
      </c>
      <c r="E237" s="55" t="s">
        <v>182</v>
      </c>
      <c r="F237" s="55">
        <v>18</v>
      </c>
      <c r="G237" s="55" t="s">
        <v>915</v>
      </c>
      <c r="H237" s="55" t="s">
        <v>912</v>
      </c>
      <c r="I237" s="55" t="s">
        <v>913</v>
      </c>
      <c r="J237" s="55" t="s">
        <v>916</v>
      </c>
      <c r="K237" s="55" t="s">
        <v>605</v>
      </c>
      <c r="L237" s="55" t="s">
        <v>907</v>
      </c>
      <c r="M237" s="55" t="s">
        <v>605</v>
      </c>
      <c r="N237" s="55">
        <v>2</v>
      </c>
      <c r="O237" s="55">
        <v>2</v>
      </c>
      <c r="P237" s="55">
        <v>0</v>
      </c>
      <c r="Q237" s="55">
        <v>1</v>
      </c>
      <c r="R237" s="55">
        <v>5</v>
      </c>
      <c r="S237" s="56" t="s">
        <v>870</v>
      </c>
      <c r="T237" s="39"/>
    </row>
    <row r="238" spans="1:20" x14ac:dyDescent="0.15">
      <c r="A238" s="39"/>
      <c r="B238" s="244"/>
      <c r="C238" s="244"/>
      <c r="D238" s="55" t="s">
        <v>839</v>
      </c>
      <c r="E238" s="55" t="s">
        <v>835</v>
      </c>
      <c r="F238" s="55">
        <v>14</v>
      </c>
      <c r="G238" s="55" t="s">
        <v>900</v>
      </c>
      <c r="H238" s="55" t="s">
        <v>901</v>
      </c>
      <c r="I238" s="55" t="s">
        <v>605</v>
      </c>
      <c r="J238" s="55" t="s">
        <v>914</v>
      </c>
      <c r="K238" s="55" t="s">
        <v>605</v>
      </c>
      <c r="L238" s="55" t="s">
        <v>605</v>
      </c>
      <c r="M238" s="55" t="s">
        <v>605</v>
      </c>
      <c r="N238" s="55">
        <v>0</v>
      </c>
      <c r="O238" s="55">
        <v>2</v>
      </c>
      <c r="P238" s="55">
        <v>0</v>
      </c>
      <c r="Q238" s="55">
        <v>0</v>
      </c>
      <c r="R238" s="55">
        <v>0</v>
      </c>
      <c r="S238" s="56" t="s">
        <v>869</v>
      </c>
      <c r="T238" s="39"/>
    </row>
    <row r="239" spans="1:20" x14ac:dyDescent="0.15">
      <c r="A239" s="39"/>
      <c r="B239" s="244"/>
      <c r="C239" s="244"/>
      <c r="D239" s="55"/>
      <c r="E239" s="55"/>
      <c r="F239" s="55"/>
      <c r="G239" s="55"/>
      <c r="H239" s="55"/>
      <c r="I239" s="55"/>
      <c r="J239" s="55"/>
      <c r="K239" s="55"/>
      <c r="L239" s="55"/>
      <c r="M239" s="55"/>
      <c r="N239" s="55"/>
      <c r="O239" s="55"/>
      <c r="P239" s="55"/>
      <c r="Q239" s="55"/>
      <c r="R239" s="55"/>
      <c r="S239" s="56"/>
      <c r="T239" s="39"/>
    </row>
    <row r="240" spans="1:20" x14ac:dyDescent="0.15">
      <c r="A240" s="39"/>
      <c r="B240" s="244"/>
      <c r="C240" s="244"/>
      <c r="D240" s="55"/>
      <c r="E240" s="55"/>
      <c r="F240" s="55"/>
      <c r="G240" s="55"/>
      <c r="H240" s="55"/>
      <c r="I240" s="55"/>
      <c r="J240" s="55"/>
      <c r="K240" s="55"/>
      <c r="L240" s="55"/>
      <c r="M240" s="55"/>
      <c r="N240" s="55"/>
      <c r="O240" s="55"/>
      <c r="P240" s="55"/>
      <c r="Q240" s="55"/>
      <c r="R240" s="55"/>
      <c r="S240" s="56"/>
      <c r="T240" s="39"/>
    </row>
    <row r="241" spans="1:20" x14ac:dyDescent="0.15">
      <c r="A241" s="39"/>
      <c r="B241" s="244"/>
      <c r="C241" s="244"/>
      <c r="D241" s="55"/>
      <c r="E241" s="55"/>
      <c r="F241" s="55"/>
      <c r="G241" s="55"/>
      <c r="H241" s="55"/>
      <c r="I241" s="55"/>
      <c r="J241" s="55"/>
      <c r="K241" s="55"/>
      <c r="L241" s="55"/>
      <c r="M241" s="55"/>
      <c r="N241" s="55"/>
      <c r="O241" s="55"/>
      <c r="P241" s="55"/>
      <c r="Q241" s="55"/>
      <c r="R241" s="55"/>
      <c r="S241" s="56"/>
      <c r="T241" s="39"/>
    </row>
    <row r="242" spans="1:20" x14ac:dyDescent="0.15">
      <c r="A242" s="39"/>
      <c r="B242" s="245"/>
      <c r="C242" s="245"/>
      <c r="D242" s="61"/>
      <c r="E242" s="61"/>
      <c r="F242" s="61"/>
      <c r="G242" s="61"/>
      <c r="H242" s="61"/>
      <c r="I242" s="61"/>
      <c r="J242" s="61"/>
      <c r="K242" s="61"/>
      <c r="L242" s="61"/>
      <c r="M242" s="61"/>
      <c r="N242" s="61"/>
      <c r="O242" s="61"/>
      <c r="P242" s="61"/>
      <c r="Q242" s="61"/>
      <c r="R242" s="61"/>
      <c r="S242" s="62"/>
      <c r="T242" s="39"/>
    </row>
    <row r="243" spans="1:20" x14ac:dyDescent="0.15">
      <c r="A243" s="39"/>
      <c r="B243" s="246">
        <v>31</v>
      </c>
      <c r="C243" s="243" t="s">
        <v>438</v>
      </c>
      <c r="D243" s="59" t="s">
        <v>673</v>
      </c>
      <c r="E243" s="59" t="s">
        <v>674</v>
      </c>
      <c r="F243" s="59">
        <v>19</v>
      </c>
      <c r="G243" s="59" t="s">
        <v>920</v>
      </c>
      <c r="H243" s="59" t="s">
        <v>909</v>
      </c>
      <c r="I243" s="59" t="s">
        <v>918</v>
      </c>
      <c r="J243" s="59" t="s">
        <v>919</v>
      </c>
      <c r="K243" s="59" t="s">
        <v>704</v>
      </c>
      <c r="L243" s="59" t="s">
        <v>605</v>
      </c>
      <c r="M243" s="59" t="s">
        <v>605</v>
      </c>
      <c r="N243" s="59">
        <v>4</v>
      </c>
      <c r="O243" s="59">
        <v>0</v>
      </c>
      <c r="P243" s="59">
        <v>1</v>
      </c>
      <c r="Q243" s="59">
        <v>2</v>
      </c>
      <c r="R243" s="59">
        <v>0</v>
      </c>
      <c r="S243" s="60" t="s">
        <v>377</v>
      </c>
      <c r="T243" s="39"/>
    </row>
    <row r="244" spans="1:20" x14ac:dyDescent="0.15">
      <c r="A244" s="39"/>
      <c r="B244" s="244"/>
      <c r="C244" s="244"/>
      <c r="D244" s="55" t="s">
        <v>675</v>
      </c>
      <c r="E244" s="55" t="s">
        <v>676</v>
      </c>
      <c r="F244" s="55">
        <v>18</v>
      </c>
      <c r="G244" s="55" t="s">
        <v>911</v>
      </c>
      <c r="H244" s="55" t="s">
        <v>889</v>
      </c>
      <c r="I244" s="55" t="s">
        <v>893</v>
      </c>
      <c r="J244" s="55" t="s">
        <v>888</v>
      </c>
      <c r="K244" s="55" t="s">
        <v>886</v>
      </c>
      <c r="L244" s="55" t="s">
        <v>605</v>
      </c>
      <c r="M244" s="55" t="s">
        <v>917</v>
      </c>
      <c r="N244" s="55">
        <v>0</v>
      </c>
      <c r="O244" s="55">
        <v>0</v>
      </c>
      <c r="P244" s="55">
        <v>0</v>
      </c>
      <c r="Q244" s="55">
        <v>0</v>
      </c>
      <c r="R244" s="55">
        <v>0</v>
      </c>
      <c r="S244" s="56" t="s">
        <v>869</v>
      </c>
      <c r="T244" s="39"/>
    </row>
    <row r="245" spans="1:20" x14ac:dyDescent="0.15">
      <c r="A245" s="39"/>
      <c r="B245" s="244"/>
      <c r="C245" s="244"/>
      <c r="D245" s="55" t="s">
        <v>675</v>
      </c>
      <c r="E245" s="55" t="s">
        <v>677</v>
      </c>
      <c r="F245" s="55">
        <v>18</v>
      </c>
      <c r="G245" s="55" t="s">
        <v>915</v>
      </c>
      <c r="H245" s="55" t="s">
        <v>912</v>
      </c>
      <c r="I245" s="55" t="s">
        <v>913</v>
      </c>
      <c r="J245" s="55" t="s">
        <v>916</v>
      </c>
      <c r="K245" s="55" t="s">
        <v>898</v>
      </c>
      <c r="L245" s="55" t="s">
        <v>907</v>
      </c>
      <c r="M245" s="55" t="s">
        <v>605</v>
      </c>
      <c r="N245" s="55">
        <v>2</v>
      </c>
      <c r="O245" s="55">
        <v>2</v>
      </c>
      <c r="P245" s="55">
        <v>0</v>
      </c>
      <c r="Q245" s="55">
        <v>1</v>
      </c>
      <c r="R245" s="55">
        <v>5</v>
      </c>
      <c r="S245" s="56" t="s">
        <v>870</v>
      </c>
      <c r="T245" s="39"/>
    </row>
    <row r="246" spans="1:20" x14ac:dyDescent="0.15">
      <c r="A246" s="39"/>
      <c r="B246" s="244"/>
      <c r="C246" s="244"/>
      <c r="D246" s="55" t="s">
        <v>675</v>
      </c>
      <c r="E246" s="55" t="s">
        <v>653</v>
      </c>
      <c r="F246" s="55">
        <v>14</v>
      </c>
      <c r="G246" s="55" t="s">
        <v>900</v>
      </c>
      <c r="H246" s="55" t="s">
        <v>901</v>
      </c>
      <c r="I246" s="55" t="s">
        <v>605</v>
      </c>
      <c r="J246" s="55" t="s">
        <v>914</v>
      </c>
      <c r="K246" s="55" t="s">
        <v>605</v>
      </c>
      <c r="L246" s="55" t="s">
        <v>605</v>
      </c>
      <c r="M246" s="55" t="s">
        <v>605</v>
      </c>
      <c r="N246" s="55">
        <v>0</v>
      </c>
      <c r="O246" s="55">
        <v>2</v>
      </c>
      <c r="P246" s="55">
        <v>0</v>
      </c>
      <c r="Q246" s="55">
        <v>0</v>
      </c>
      <c r="R246" s="55">
        <v>0</v>
      </c>
      <c r="S246" s="56" t="s">
        <v>869</v>
      </c>
      <c r="T246" s="39"/>
    </row>
    <row r="247" spans="1:20" x14ac:dyDescent="0.15">
      <c r="A247" s="39"/>
      <c r="B247" s="244"/>
      <c r="C247" s="244"/>
      <c r="D247" s="55" t="s">
        <v>675</v>
      </c>
      <c r="E247" s="55"/>
      <c r="F247" s="55"/>
      <c r="G247" s="55"/>
      <c r="H247" s="55"/>
      <c r="I247" s="55"/>
      <c r="J247" s="55"/>
      <c r="K247" s="55"/>
      <c r="L247" s="55"/>
      <c r="M247" s="55"/>
      <c r="N247" s="55"/>
      <c r="O247" s="55"/>
      <c r="P247" s="55"/>
      <c r="Q247" s="55"/>
      <c r="R247" s="55"/>
      <c r="S247" s="56"/>
      <c r="T247" s="39"/>
    </row>
    <row r="248" spans="1:20" x14ac:dyDescent="0.15">
      <c r="A248" s="39"/>
      <c r="B248" s="244"/>
      <c r="C248" s="244"/>
      <c r="D248" s="55"/>
      <c r="E248" s="55"/>
      <c r="F248" s="55"/>
      <c r="G248" s="55"/>
      <c r="H248" s="55"/>
      <c r="I248" s="55"/>
      <c r="J248" s="55"/>
      <c r="K248" s="55"/>
      <c r="L248" s="55"/>
      <c r="M248" s="55"/>
      <c r="N248" s="55"/>
      <c r="O248" s="55"/>
      <c r="P248" s="55"/>
      <c r="Q248" s="55"/>
      <c r="R248" s="55"/>
      <c r="S248" s="56"/>
      <c r="T248" s="39"/>
    </row>
    <row r="249" spans="1:20" x14ac:dyDescent="0.15">
      <c r="A249" s="39"/>
      <c r="B249" s="244"/>
      <c r="C249" s="244"/>
      <c r="D249" s="55"/>
      <c r="E249" s="55"/>
      <c r="F249" s="55"/>
      <c r="G249" s="55"/>
      <c r="H249" s="55"/>
      <c r="I249" s="55"/>
      <c r="J249" s="55"/>
      <c r="K249" s="55"/>
      <c r="L249" s="55"/>
      <c r="M249" s="55"/>
      <c r="N249" s="55"/>
      <c r="O249" s="55"/>
      <c r="P249" s="55"/>
      <c r="Q249" s="55"/>
      <c r="R249" s="55"/>
      <c r="S249" s="56"/>
      <c r="T249" s="39"/>
    </row>
    <row r="250" spans="1:20" x14ac:dyDescent="0.15">
      <c r="A250" s="39"/>
      <c r="B250" s="245"/>
      <c r="C250" s="245"/>
      <c r="D250" s="61"/>
      <c r="E250" s="61"/>
      <c r="F250" s="61"/>
      <c r="G250" s="61"/>
      <c r="H250" s="61"/>
      <c r="I250" s="61"/>
      <c r="J250" s="61"/>
      <c r="K250" s="61"/>
      <c r="L250" s="61"/>
      <c r="M250" s="61"/>
      <c r="N250" s="61"/>
      <c r="O250" s="61"/>
      <c r="P250" s="61"/>
      <c r="Q250" s="61"/>
      <c r="R250" s="61"/>
      <c r="S250" s="62"/>
      <c r="T250" s="39"/>
    </row>
    <row r="251" spans="1:20" x14ac:dyDescent="0.15">
      <c r="A251" s="39"/>
      <c r="B251" s="246">
        <v>32</v>
      </c>
      <c r="C251" s="243" t="s">
        <v>840</v>
      </c>
      <c r="D251" s="59" t="s">
        <v>841</v>
      </c>
      <c r="E251" s="59" t="s">
        <v>815</v>
      </c>
      <c r="F251" s="59">
        <v>20</v>
      </c>
      <c r="G251" s="59" t="s">
        <v>920</v>
      </c>
      <c r="H251" s="59" t="s">
        <v>909</v>
      </c>
      <c r="I251" s="59" t="s">
        <v>918</v>
      </c>
      <c r="J251" s="59" t="s">
        <v>919</v>
      </c>
      <c r="K251" s="59" t="s">
        <v>886</v>
      </c>
      <c r="L251" s="59" t="s">
        <v>907</v>
      </c>
      <c r="M251" s="59" t="s">
        <v>605</v>
      </c>
      <c r="N251" s="59">
        <v>5</v>
      </c>
      <c r="O251" s="59">
        <v>0</v>
      </c>
      <c r="P251" s="59">
        <v>2</v>
      </c>
      <c r="Q251" s="59">
        <v>2</v>
      </c>
      <c r="R251" s="59">
        <v>0</v>
      </c>
      <c r="S251" s="60" t="s">
        <v>377</v>
      </c>
      <c r="T251" s="39"/>
    </row>
    <row r="252" spans="1:20" x14ac:dyDescent="0.15">
      <c r="A252" s="39"/>
      <c r="B252" s="244"/>
      <c r="C252" s="244"/>
      <c r="D252" s="55" t="s">
        <v>843</v>
      </c>
      <c r="E252" s="55" t="s">
        <v>845</v>
      </c>
      <c r="F252" s="55">
        <v>23</v>
      </c>
      <c r="G252" s="55" t="s">
        <v>921</v>
      </c>
      <c r="H252" s="55" t="s">
        <v>922</v>
      </c>
      <c r="I252" s="55" t="s">
        <v>923</v>
      </c>
      <c r="J252" s="55" t="s">
        <v>924</v>
      </c>
      <c r="K252" s="55" t="s">
        <v>886</v>
      </c>
      <c r="L252" s="55" t="s">
        <v>605</v>
      </c>
      <c r="M252" s="55" t="s">
        <v>605</v>
      </c>
      <c r="N252" s="55">
        <v>0</v>
      </c>
      <c r="O252" s="55">
        <v>0</v>
      </c>
      <c r="P252" s="55">
        <v>0</v>
      </c>
      <c r="Q252" s="55">
        <v>0</v>
      </c>
      <c r="R252" s="55">
        <v>0</v>
      </c>
      <c r="S252" s="56" t="s">
        <v>871</v>
      </c>
      <c r="T252" s="39"/>
    </row>
    <row r="253" spans="1:20" x14ac:dyDescent="0.15">
      <c r="A253" s="39"/>
      <c r="B253" s="244"/>
      <c r="C253" s="244"/>
      <c r="D253" s="55" t="s">
        <v>841</v>
      </c>
      <c r="E253" s="55" t="s">
        <v>808</v>
      </c>
      <c r="F253" s="55">
        <v>19</v>
      </c>
      <c r="G253" s="55" t="s">
        <v>915</v>
      </c>
      <c r="H253" s="55" t="s">
        <v>912</v>
      </c>
      <c r="I253" s="55" t="s">
        <v>913</v>
      </c>
      <c r="J253" s="55" t="s">
        <v>916</v>
      </c>
      <c r="K253" s="55" t="s">
        <v>704</v>
      </c>
      <c r="L253" s="55" t="s">
        <v>605</v>
      </c>
      <c r="M253" s="55" t="s">
        <v>605</v>
      </c>
      <c r="N253" s="55">
        <v>2</v>
      </c>
      <c r="O253" s="55">
        <v>2</v>
      </c>
      <c r="P253" s="55">
        <v>0</v>
      </c>
      <c r="Q253" s="55">
        <v>1</v>
      </c>
      <c r="R253" s="55">
        <v>5</v>
      </c>
      <c r="S253" s="56" t="s">
        <v>870</v>
      </c>
      <c r="T253" s="39"/>
    </row>
    <row r="254" spans="1:20" x14ac:dyDescent="0.15">
      <c r="A254" s="39"/>
      <c r="B254" s="244"/>
      <c r="C254" s="244"/>
      <c r="D254" s="55" t="s">
        <v>842</v>
      </c>
      <c r="E254" s="55" t="s">
        <v>816</v>
      </c>
      <c r="F254" s="55">
        <v>15</v>
      </c>
      <c r="G254" s="55" t="s">
        <v>900</v>
      </c>
      <c r="H254" s="55" t="s">
        <v>901</v>
      </c>
      <c r="I254" s="55" t="s">
        <v>605</v>
      </c>
      <c r="J254" s="55" t="s">
        <v>914</v>
      </c>
      <c r="K254" s="55" t="s">
        <v>605</v>
      </c>
      <c r="L254" s="55" t="s">
        <v>605</v>
      </c>
      <c r="M254" s="55" t="s">
        <v>605</v>
      </c>
      <c r="N254" s="55">
        <v>0</v>
      </c>
      <c r="O254" s="55">
        <v>2</v>
      </c>
      <c r="P254" s="55">
        <v>0</v>
      </c>
      <c r="Q254" s="55">
        <v>0</v>
      </c>
      <c r="R254" s="55">
        <v>0</v>
      </c>
      <c r="S254" s="56" t="s">
        <v>869</v>
      </c>
      <c r="T254" s="39"/>
    </row>
    <row r="255" spans="1:20" x14ac:dyDescent="0.15">
      <c r="A255" s="39"/>
      <c r="B255" s="244"/>
      <c r="C255" s="244"/>
      <c r="D255" s="55" t="s">
        <v>842</v>
      </c>
      <c r="E255" s="55"/>
      <c r="F255" s="55"/>
      <c r="G255" s="55"/>
      <c r="H255" s="55"/>
      <c r="I255" s="55"/>
      <c r="J255" s="55"/>
      <c r="K255" s="55"/>
      <c r="L255" s="55"/>
      <c r="M255" s="55"/>
      <c r="N255" s="55"/>
      <c r="O255" s="55"/>
      <c r="P255" s="55"/>
      <c r="Q255" s="55"/>
      <c r="R255" s="55"/>
      <c r="S255" s="56"/>
      <c r="T255" s="39"/>
    </row>
    <row r="256" spans="1:20" x14ac:dyDescent="0.15">
      <c r="A256" s="39"/>
      <c r="B256" s="244"/>
      <c r="C256" s="244"/>
      <c r="D256" s="55" t="s">
        <v>844</v>
      </c>
      <c r="E256" s="55"/>
      <c r="F256" s="55"/>
      <c r="G256" s="55"/>
      <c r="H256" s="55"/>
      <c r="I256" s="55"/>
      <c r="J256" s="55"/>
      <c r="K256" s="55"/>
      <c r="L256" s="55"/>
      <c r="M256" s="55"/>
      <c r="N256" s="55"/>
      <c r="O256" s="55"/>
      <c r="P256" s="55"/>
      <c r="Q256" s="55"/>
      <c r="R256" s="55"/>
      <c r="S256" s="56"/>
      <c r="T256" s="39"/>
    </row>
    <row r="257" spans="1:20" x14ac:dyDescent="0.15">
      <c r="A257" s="39"/>
      <c r="B257" s="244"/>
      <c r="C257" s="244"/>
      <c r="D257" s="55" t="s">
        <v>844</v>
      </c>
      <c r="E257" s="55"/>
      <c r="F257" s="55"/>
      <c r="G257" s="55"/>
      <c r="H257" s="55"/>
      <c r="I257" s="55"/>
      <c r="J257" s="55"/>
      <c r="K257" s="55"/>
      <c r="L257" s="55"/>
      <c r="M257" s="55"/>
      <c r="N257" s="55"/>
      <c r="O257" s="55"/>
      <c r="P257" s="55"/>
      <c r="Q257" s="55"/>
      <c r="R257" s="55"/>
      <c r="S257" s="56"/>
      <c r="T257" s="39"/>
    </row>
    <row r="258" spans="1:20" x14ac:dyDescent="0.15">
      <c r="A258" s="39"/>
      <c r="B258" s="245"/>
      <c r="C258" s="245"/>
      <c r="D258" s="61"/>
      <c r="E258" s="61"/>
      <c r="F258" s="61"/>
      <c r="G258" s="61"/>
      <c r="H258" s="61"/>
      <c r="I258" s="61"/>
      <c r="J258" s="61"/>
      <c r="K258" s="61"/>
      <c r="L258" s="61"/>
      <c r="M258" s="61"/>
      <c r="N258" s="61"/>
      <c r="O258" s="61"/>
      <c r="P258" s="61"/>
      <c r="Q258" s="61"/>
      <c r="R258" s="61"/>
      <c r="S258" s="62"/>
      <c r="T258" s="39"/>
    </row>
    <row r="259" spans="1:20" x14ac:dyDescent="0.15">
      <c r="A259" s="39"/>
      <c r="B259" s="246">
        <v>33</v>
      </c>
      <c r="C259" s="243" t="s">
        <v>331</v>
      </c>
      <c r="D259" s="59" t="s">
        <v>846</v>
      </c>
      <c r="E259" s="59" t="s">
        <v>847</v>
      </c>
      <c r="F259" s="59">
        <v>5</v>
      </c>
      <c r="G259" s="59" t="s">
        <v>925</v>
      </c>
      <c r="H259" s="59" t="s">
        <v>886</v>
      </c>
      <c r="I259" s="59" t="s">
        <v>926</v>
      </c>
      <c r="J259" s="59" t="s">
        <v>927</v>
      </c>
      <c r="K259" s="59" t="s">
        <v>704</v>
      </c>
      <c r="L259" s="59" t="s">
        <v>605</v>
      </c>
      <c r="M259" s="59" t="s">
        <v>605</v>
      </c>
      <c r="N259" s="59">
        <v>0</v>
      </c>
      <c r="O259" s="59">
        <v>0</v>
      </c>
      <c r="P259" s="59">
        <v>0</v>
      </c>
      <c r="Q259" s="59">
        <v>0</v>
      </c>
      <c r="R259" s="59">
        <v>0</v>
      </c>
      <c r="S259" s="60" t="s">
        <v>393</v>
      </c>
      <c r="T259" s="39"/>
    </row>
    <row r="260" spans="1:20" x14ac:dyDescent="0.15">
      <c r="A260" s="39"/>
      <c r="B260" s="244"/>
      <c r="C260" s="244"/>
      <c r="D260" s="55" t="s">
        <v>846</v>
      </c>
      <c r="E260" s="55" t="s">
        <v>820</v>
      </c>
      <c r="F260" s="55">
        <v>20</v>
      </c>
      <c r="G260" s="55" t="s">
        <v>911</v>
      </c>
      <c r="H260" s="55" t="s">
        <v>909</v>
      </c>
      <c r="I260" s="55" t="s">
        <v>928</v>
      </c>
      <c r="J260" s="55" t="s">
        <v>919</v>
      </c>
      <c r="K260" s="55" t="s">
        <v>605</v>
      </c>
      <c r="L260" s="55" t="s">
        <v>907</v>
      </c>
      <c r="M260" s="55" t="s">
        <v>605</v>
      </c>
      <c r="N260" s="55">
        <v>7</v>
      </c>
      <c r="O260" s="55">
        <v>0</v>
      </c>
      <c r="P260" s="55">
        <v>2</v>
      </c>
      <c r="Q260" s="55">
        <v>2</v>
      </c>
      <c r="R260" s="55">
        <v>0</v>
      </c>
      <c r="S260" s="56" t="s">
        <v>870</v>
      </c>
      <c r="T260" s="39"/>
    </row>
    <row r="261" spans="1:20" x14ac:dyDescent="0.15">
      <c r="A261" s="39"/>
      <c r="B261" s="244"/>
      <c r="C261" s="244"/>
      <c r="D261" s="55" t="s">
        <v>846</v>
      </c>
      <c r="E261" s="55" t="s">
        <v>845</v>
      </c>
      <c r="F261" s="55">
        <v>23</v>
      </c>
      <c r="G261" s="55" t="s">
        <v>921</v>
      </c>
      <c r="H261" s="55" t="s">
        <v>929</v>
      </c>
      <c r="I261" s="55" t="s">
        <v>930</v>
      </c>
      <c r="J261" s="55" t="s">
        <v>927</v>
      </c>
      <c r="K261" s="55" t="s">
        <v>605</v>
      </c>
      <c r="L261" s="55" t="s">
        <v>605</v>
      </c>
      <c r="M261" s="55" t="s">
        <v>959</v>
      </c>
      <c r="N261" s="55">
        <v>0</v>
      </c>
      <c r="O261" s="55">
        <v>0</v>
      </c>
      <c r="P261" s="55">
        <v>0</v>
      </c>
      <c r="Q261" s="55">
        <v>0</v>
      </c>
      <c r="R261" s="55">
        <v>0</v>
      </c>
      <c r="S261" s="56" t="s">
        <v>871</v>
      </c>
      <c r="T261" s="39"/>
    </row>
    <row r="262" spans="1:20" x14ac:dyDescent="0.15">
      <c r="A262" s="39"/>
      <c r="B262" s="244"/>
      <c r="C262" s="244"/>
      <c r="D262" s="55"/>
      <c r="E262" s="55" t="s">
        <v>182</v>
      </c>
      <c r="F262" s="55">
        <v>19</v>
      </c>
      <c r="G262" s="55" t="s">
        <v>915</v>
      </c>
      <c r="H262" s="55" t="s">
        <v>912</v>
      </c>
      <c r="I262" s="55" t="s">
        <v>913</v>
      </c>
      <c r="J262" s="55" t="s">
        <v>916</v>
      </c>
      <c r="K262" s="55" t="s">
        <v>704</v>
      </c>
      <c r="L262" s="55" t="s">
        <v>605</v>
      </c>
      <c r="M262" s="55" t="s">
        <v>605</v>
      </c>
      <c r="N262" s="55">
        <v>2</v>
      </c>
      <c r="O262" s="55">
        <v>2</v>
      </c>
      <c r="P262" s="55">
        <v>0</v>
      </c>
      <c r="Q262" s="55">
        <v>1</v>
      </c>
      <c r="R262" s="55">
        <v>5</v>
      </c>
      <c r="S262" s="56" t="s">
        <v>870</v>
      </c>
      <c r="T262" s="39"/>
    </row>
    <row r="263" spans="1:20" x14ac:dyDescent="0.15">
      <c r="A263" s="39"/>
      <c r="B263" s="244"/>
      <c r="C263" s="244"/>
      <c r="D263" s="55"/>
      <c r="E263" s="55"/>
      <c r="F263" s="55"/>
      <c r="G263" s="55"/>
      <c r="H263" s="55"/>
      <c r="I263" s="55"/>
      <c r="J263" s="55"/>
      <c r="K263" s="55"/>
      <c r="L263" s="55"/>
      <c r="M263" s="55"/>
      <c r="N263" s="55"/>
      <c r="O263" s="55"/>
      <c r="P263" s="55"/>
      <c r="Q263" s="55"/>
      <c r="R263" s="55"/>
      <c r="S263" s="56"/>
      <c r="T263" s="39"/>
    </row>
    <row r="264" spans="1:20" x14ac:dyDescent="0.15">
      <c r="A264" s="39"/>
      <c r="B264" s="244"/>
      <c r="C264" s="244"/>
      <c r="D264" s="55"/>
      <c r="E264" s="55"/>
      <c r="F264" s="55"/>
      <c r="G264" s="55"/>
      <c r="H264" s="55"/>
      <c r="I264" s="55"/>
      <c r="J264" s="55"/>
      <c r="K264" s="55"/>
      <c r="L264" s="55"/>
      <c r="M264" s="55"/>
      <c r="N264" s="55"/>
      <c r="O264" s="55"/>
      <c r="P264" s="55"/>
      <c r="Q264" s="55"/>
      <c r="R264" s="55"/>
      <c r="S264" s="56"/>
      <c r="T264" s="39"/>
    </row>
    <row r="265" spans="1:20" x14ac:dyDescent="0.15">
      <c r="A265" s="39"/>
      <c r="B265" s="244"/>
      <c r="C265" s="244"/>
      <c r="D265" s="55"/>
      <c r="E265" s="55"/>
      <c r="F265" s="55"/>
      <c r="G265" s="55"/>
      <c r="H265" s="55"/>
      <c r="I265" s="55"/>
      <c r="J265" s="55"/>
      <c r="K265" s="55"/>
      <c r="L265" s="55"/>
      <c r="M265" s="55"/>
      <c r="N265" s="55"/>
      <c r="O265" s="55"/>
      <c r="P265" s="55"/>
      <c r="Q265" s="55"/>
      <c r="R265" s="55"/>
      <c r="S265" s="56"/>
      <c r="T265" s="39"/>
    </row>
    <row r="266" spans="1:20" x14ac:dyDescent="0.15">
      <c r="A266" s="39"/>
      <c r="B266" s="245"/>
      <c r="C266" s="245"/>
      <c r="D266" s="61"/>
      <c r="E266" s="61"/>
      <c r="F266" s="61"/>
      <c r="G266" s="61"/>
      <c r="H266" s="61"/>
      <c r="I266" s="61"/>
      <c r="J266" s="61"/>
      <c r="K266" s="61"/>
      <c r="L266" s="61"/>
      <c r="M266" s="61"/>
      <c r="N266" s="61"/>
      <c r="O266" s="61"/>
      <c r="P266" s="61"/>
      <c r="Q266" s="61"/>
      <c r="R266" s="61"/>
      <c r="S266" s="62"/>
      <c r="T266" s="39"/>
    </row>
    <row r="267" spans="1:20" x14ac:dyDescent="0.15">
      <c r="A267" s="39"/>
      <c r="B267" s="246">
        <v>34</v>
      </c>
      <c r="C267" s="243" t="s">
        <v>439</v>
      </c>
      <c r="D267" s="59" t="s">
        <v>848</v>
      </c>
      <c r="E267" s="59" t="s">
        <v>847</v>
      </c>
      <c r="F267" s="59">
        <v>5</v>
      </c>
      <c r="G267" s="59" t="s">
        <v>925</v>
      </c>
      <c r="H267" s="59" t="s">
        <v>886</v>
      </c>
      <c r="I267" s="59" t="s">
        <v>926</v>
      </c>
      <c r="J267" s="59" t="s">
        <v>927</v>
      </c>
      <c r="K267" s="59" t="s">
        <v>704</v>
      </c>
      <c r="L267" s="59" t="s">
        <v>605</v>
      </c>
      <c r="M267" s="59" t="s">
        <v>605</v>
      </c>
      <c r="N267" s="59">
        <v>0</v>
      </c>
      <c r="O267" s="59">
        <v>0</v>
      </c>
      <c r="P267" s="59">
        <v>0</v>
      </c>
      <c r="Q267" s="59">
        <v>0</v>
      </c>
      <c r="R267" s="59">
        <v>0</v>
      </c>
      <c r="S267" s="60" t="s">
        <v>393</v>
      </c>
      <c r="T267" s="39"/>
    </row>
    <row r="268" spans="1:20" x14ac:dyDescent="0.15">
      <c r="A268" s="39"/>
      <c r="B268" s="244"/>
      <c r="C268" s="244"/>
      <c r="D268" s="55" t="s">
        <v>848</v>
      </c>
      <c r="E268" s="55" t="s">
        <v>815</v>
      </c>
      <c r="F268" s="55">
        <v>21</v>
      </c>
      <c r="G268" s="55" t="s">
        <v>911</v>
      </c>
      <c r="H268" s="55" t="s">
        <v>909</v>
      </c>
      <c r="I268" s="55" t="s">
        <v>928</v>
      </c>
      <c r="J268" s="55" t="s">
        <v>919</v>
      </c>
      <c r="K268" s="55" t="s">
        <v>605</v>
      </c>
      <c r="L268" s="55" t="s">
        <v>907</v>
      </c>
      <c r="M268" s="55" t="s">
        <v>605</v>
      </c>
      <c r="N268" s="55">
        <v>7</v>
      </c>
      <c r="O268" s="55">
        <v>0</v>
      </c>
      <c r="P268" s="55">
        <v>6</v>
      </c>
      <c r="Q268" s="55">
        <v>2</v>
      </c>
      <c r="R268" s="55">
        <v>0</v>
      </c>
      <c r="S268" s="56" t="s">
        <v>870</v>
      </c>
      <c r="T268" s="39"/>
    </row>
    <row r="269" spans="1:20" x14ac:dyDescent="0.15">
      <c r="A269" s="39"/>
      <c r="B269" s="244"/>
      <c r="C269" s="244"/>
      <c r="D269" s="55" t="s">
        <v>849</v>
      </c>
      <c r="E269" s="55" t="s">
        <v>845</v>
      </c>
      <c r="F269" s="55">
        <v>23</v>
      </c>
      <c r="G269" s="55" t="s">
        <v>921</v>
      </c>
      <c r="H269" s="55" t="s">
        <v>929</v>
      </c>
      <c r="I269" s="55" t="s">
        <v>931</v>
      </c>
      <c r="J269" s="55" t="s">
        <v>927</v>
      </c>
      <c r="K269" s="55" t="s">
        <v>605</v>
      </c>
      <c r="L269" s="55" t="s">
        <v>605</v>
      </c>
      <c r="M269" s="55" t="s">
        <v>955</v>
      </c>
      <c r="N269" s="55">
        <v>0</v>
      </c>
      <c r="O269" s="55">
        <v>0</v>
      </c>
      <c r="P269" s="55">
        <v>0</v>
      </c>
      <c r="Q269" s="55">
        <v>0</v>
      </c>
      <c r="R269" s="55">
        <v>0</v>
      </c>
      <c r="S269" s="56" t="s">
        <v>871</v>
      </c>
      <c r="T269" s="39"/>
    </row>
    <row r="270" spans="1:20" x14ac:dyDescent="0.15">
      <c r="A270" s="39"/>
      <c r="B270" s="244"/>
      <c r="C270" s="244"/>
      <c r="D270" s="55" t="s">
        <v>850</v>
      </c>
      <c r="E270" s="55" t="s">
        <v>182</v>
      </c>
      <c r="F270" s="55">
        <v>20</v>
      </c>
      <c r="G270" s="55" t="s">
        <v>915</v>
      </c>
      <c r="H270" s="55" t="s">
        <v>912</v>
      </c>
      <c r="I270" s="55" t="s">
        <v>913</v>
      </c>
      <c r="J270" s="55" t="s">
        <v>916</v>
      </c>
      <c r="K270" s="55" t="s">
        <v>956</v>
      </c>
      <c r="L270" s="55" t="s">
        <v>605</v>
      </c>
      <c r="M270" s="55" t="s">
        <v>957</v>
      </c>
      <c r="N270" s="55">
        <v>2</v>
      </c>
      <c r="O270" s="55">
        <v>2</v>
      </c>
      <c r="P270" s="55">
        <v>0</v>
      </c>
      <c r="Q270" s="55">
        <v>1</v>
      </c>
      <c r="R270" s="55">
        <v>5</v>
      </c>
      <c r="S270" s="56" t="s">
        <v>870</v>
      </c>
      <c r="T270" s="39"/>
    </row>
    <row r="271" spans="1:20" x14ac:dyDescent="0.15">
      <c r="A271" s="39"/>
      <c r="B271" s="244"/>
      <c r="C271" s="244"/>
      <c r="D271" s="55" t="s">
        <v>850</v>
      </c>
      <c r="E271" s="55"/>
      <c r="F271" s="55"/>
      <c r="G271" s="55"/>
      <c r="H271" s="55"/>
      <c r="I271" s="55"/>
      <c r="J271" s="55"/>
      <c r="K271" s="55"/>
      <c r="L271" s="55"/>
      <c r="M271" s="55"/>
      <c r="N271" s="55"/>
      <c r="O271" s="55"/>
      <c r="P271" s="55"/>
      <c r="Q271" s="55"/>
      <c r="R271" s="55"/>
      <c r="S271" s="56"/>
      <c r="T271" s="39"/>
    </row>
    <row r="272" spans="1:20" x14ac:dyDescent="0.15">
      <c r="A272" s="39"/>
      <c r="B272" s="244"/>
      <c r="C272" s="244"/>
      <c r="D272" s="55" t="s">
        <v>851</v>
      </c>
      <c r="E272" s="55"/>
      <c r="F272" s="55"/>
      <c r="G272" s="55"/>
      <c r="H272" s="55"/>
      <c r="I272" s="55"/>
      <c r="J272" s="55"/>
      <c r="K272" s="55"/>
      <c r="L272" s="55"/>
      <c r="M272" s="55"/>
      <c r="N272" s="55"/>
      <c r="O272" s="55"/>
      <c r="P272" s="55"/>
      <c r="Q272" s="55"/>
      <c r="R272" s="55"/>
      <c r="S272" s="56"/>
      <c r="T272" s="39"/>
    </row>
    <row r="273" spans="1:20" x14ac:dyDescent="0.15">
      <c r="A273" s="39"/>
      <c r="B273" s="244"/>
      <c r="C273" s="244"/>
      <c r="D273" s="55"/>
      <c r="E273" s="55"/>
      <c r="F273" s="55"/>
      <c r="G273" s="55"/>
      <c r="H273" s="55"/>
      <c r="I273" s="55"/>
      <c r="J273" s="55"/>
      <c r="K273" s="55"/>
      <c r="L273" s="55"/>
      <c r="M273" s="55"/>
      <c r="N273" s="55"/>
      <c r="O273" s="55"/>
      <c r="P273" s="55"/>
      <c r="Q273" s="55"/>
      <c r="R273" s="55"/>
      <c r="S273" s="56"/>
      <c r="T273" s="39"/>
    </row>
    <row r="274" spans="1:20" x14ac:dyDescent="0.15">
      <c r="A274" s="39"/>
      <c r="B274" s="245"/>
      <c r="C274" s="245"/>
      <c r="D274" s="61"/>
      <c r="E274" s="61"/>
      <c r="F274" s="61"/>
      <c r="G274" s="61"/>
      <c r="H274" s="61"/>
      <c r="I274" s="61"/>
      <c r="J274" s="61"/>
      <c r="K274" s="61"/>
      <c r="L274" s="61"/>
      <c r="M274" s="61"/>
      <c r="N274" s="61"/>
      <c r="O274" s="61"/>
      <c r="P274" s="61"/>
      <c r="Q274" s="61"/>
      <c r="R274" s="61"/>
      <c r="S274" s="62"/>
      <c r="T274" s="39"/>
    </row>
    <row r="275" spans="1:20" x14ac:dyDescent="0.15">
      <c r="A275" s="39"/>
      <c r="B275" s="246">
        <v>35</v>
      </c>
      <c r="C275" s="243" t="s">
        <v>440</v>
      </c>
      <c r="D275" s="59" t="s">
        <v>308</v>
      </c>
      <c r="E275" s="59" t="s">
        <v>860</v>
      </c>
      <c r="F275" s="59">
        <v>5</v>
      </c>
      <c r="G275" s="59" t="s">
        <v>925</v>
      </c>
      <c r="H275" s="59" t="s">
        <v>886</v>
      </c>
      <c r="I275" s="59" t="s">
        <v>926</v>
      </c>
      <c r="J275" s="59" t="s">
        <v>927</v>
      </c>
      <c r="K275" s="59" t="s">
        <v>704</v>
      </c>
      <c r="L275" s="59" t="s">
        <v>605</v>
      </c>
      <c r="M275" s="59" t="s">
        <v>605</v>
      </c>
      <c r="N275" s="59">
        <v>0</v>
      </c>
      <c r="O275" s="59">
        <v>0</v>
      </c>
      <c r="P275" s="59">
        <v>0</v>
      </c>
      <c r="Q275" s="59">
        <v>0</v>
      </c>
      <c r="R275" s="59">
        <v>0</v>
      </c>
      <c r="S275" s="60" t="s">
        <v>393</v>
      </c>
      <c r="T275" s="39"/>
    </row>
    <row r="276" spans="1:20" x14ac:dyDescent="0.15">
      <c r="A276" s="39"/>
      <c r="B276" s="244"/>
      <c r="C276" s="244"/>
      <c r="D276" s="55" t="s">
        <v>852</v>
      </c>
      <c r="E276" s="55" t="s">
        <v>861</v>
      </c>
      <c r="F276" s="55">
        <v>22</v>
      </c>
      <c r="G276" s="55" t="s">
        <v>911</v>
      </c>
      <c r="H276" s="55" t="s">
        <v>909</v>
      </c>
      <c r="I276" s="55" t="s">
        <v>928</v>
      </c>
      <c r="J276" s="55" t="s">
        <v>919</v>
      </c>
      <c r="K276" s="55" t="s">
        <v>605</v>
      </c>
      <c r="L276" s="55" t="s">
        <v>907</v>
      </c>
      <c r="M276" s="55" t="s">
        <v>605</v>
      </c>
      <c r="N276" s="55">
        <v>7</v>
      </c>
      <c r="O276" s="55">
        <v>0</v>
      </c>
      <c r="P276" s="55">
        <v>6</v>
      </c>
      <c r="Q276" s="55">
        <v>2</v>
      </c>
      <c r="R276" s="55">
        <v>0</v>
      </c>
      <c r="S276" s="56" t="s">
        <v>870</v>
      </c>
      <c r="T276" s="39"/>
    </row>
    <row r="277" spans="1:20" x14ac:dyDescent="0.15">
      <c r="A277" s="39"/>
      <c r="B277" s="244"/>
      <c r="C277" s="244"/>
      <c r="D277" s="55" t="s">
        <v>852</v>
      </c>
      <c r="E277" s="55" t="s">
        <v>862</v>
      </c>
      <c r="F277" s="55">
        <v>24</v>
      </c>
      <c r="G277" s="55" t="s">
        <v>921</v>
      </c>
      <c r="H277" s="55" t="s">
        <v>929</v>
      </c>
      <c r="I277" s="55" t="s">
        <v>931</v>
      </c>
      <c r="J277" s="55" t="s">
        <v>927</v>
      </c>
      <c r="K277" s="55" t="s">
        <v>605</v>
      </c>
      <c r="L277" s="55" t="s">
        <v>605</v>
      </c>
      <c r="M277" s="55" t="s">
        <v>959</v>
      </c>
      <c r="N277" s="55">
        <v>0</v>
      </c>
      <c r="O277" s="55">
        <v>0</v>
      </c>
      <c r="P277" s="55">
        <v>0</v>
      </c>
      <c r="Q277" s="55">
        <v>0</v>
      </c>
      <c r="R277" s="55">
        <v>0</v>
      </c>
      <c r="S277" s="56" t="s">
        <v>871</v>
      </c>
      <c r="T277" s="39"/>
    </row>
    <row r="278" spans="1:20" x14ac:dyDescent="0.15">
      <c r="A278" s="39"/>
      <c r="B278" s="244"/>
      <c r="C278" s="244"/>
      <c r="D278" s="55" t="s">
        <v>853</v>
      </c>
      <c r="E278" s="55" t="s">
        <v>863</v>
      </c>
      <c r="F278" s="55">
        <v>21</v>
      </c>
      <c r="G278" s="55" t="s">
        <v>915</v>
      </c>
      <c r="H278" s="55" t="s">
        <v>912</v>
      </c>
      <c r="I278" s="55" t="s">
        <v>913</v>
      </c>
      <c r="J278" s="55" t="s">
        <v>916</v>
      </c>
      <c r="K278" s="55" t="s">
        <v>958</v>
      </c>
      <c r="L278" s="55" t="s">
        <v>605</v>
      </c>
      <c r="M278" s="55" t="s">
        <v>957</v>
      </c>
      <c r="N278" s="55">
        <v>3</v>
      </c>
      <c r="O278" s="55">
        <v>2</v>
      </c>
      <c r="P278" s="55">
        <v>0</v>
      </c>
      <c r="Q278" s="55">
        <v>1</v>
      </c>
      <c r="R278" s="55">
        <v>6</v>
      </c>
      <c r="S278" s="56" t="s">
        <v>870</v>
      </c>
      <c r="T278" s="39"/>
    </row>
    <row r="279" spans="1:20" x14ac:dyDescent="0.15">
      <c r="A279" s="39"/>
      <c r="B279" s="244"/>
      <c r="C279" s="244"/>
      <c r="D279" s="55" t="s">
        <v>853</v>
      </c>
      <c r="E279" s="55"/>
      <c r="F279" s="55"/>
      <c r="G279" s="55"/>
      <c r="H279" s="55"/>
      <c r="I279" s="55"/>
      <c r="J279" s="55"/>
      <c r="K279" s="55"/>
      <c r="L279" s="55"/>
      <c r="M279" s="55"/>
      <c r="N279" s="55"/>
      <c r="O279" s="55"/>
      <c r="P279" s="55"/>
      <c r="Q279" s="55"/>
      <c r="R279" s="55"/>
      <c r="S279" s="56"/>
      <c r="T279" s="39"/>
    </row>
    <row r="280" spans="1:20" x14ac:dyDescent="0.15">
      <c r="A280" s="39"/>
      <c r="B280" s="244"/>
      <c r="C280" s="244"/>
      <c r="D280" s="55" t="s">
        <v>853</v>
      </c>
      <c r="E280" s="55"/>
      <c r="F280" s="55"/>
      <c r="G280" s="55"/>
      <c r="H280" s="55"/>
      <c r="I280" s="55"/>
      <c r="J280" s="55"/>
      <c r="K280" s="55"/>
      <c r="L280" s="55"/>
      <c r="M280" s="55"/>
      <c r="N280" s="55"/>
      <c r="O280" s="55"/>
      <c r="P280" s="55"/>
      <c r="Q280" s="55"/>
      <c r="R280" s="55"/>
      <c r="S280" s="56"/>
      <c r="T280" s="39"/>
    </row>
    <row r="281" spans="1:20" x14ac:dyDescent="0.15">
      <c r="A281" s="39"/>
      <c r="B281" s="244"/>
      <c r="C281" s="244"/>
      <c r="D281" s="55"/>
      <c r="E281" s="55"/>
      <c r="F281" s="55"/>
      <c r="G281" s="55"/>
      <c r="H281" s="55"/>
      <c r="I281" s="55"/>
      <c r="J281" s="55"/>
      <c r="K281" s="55"/>
      <c r="L281" s="55"/>
      <c r="M281" s="55"/>
      <c r="N281" s="55"/>
      <c r="O281" s="55"/>
      <c r="P281" s="55"/>
      <c r="Q281" s="55"/>
      <c r="R281" s="55"/>
      <c r="S281" s="56"/>
      <c r="T281" s="39"/>
    </row>
    <row r="282" spans="1:20" x14ac:dyDescent="0.15">
      <c r="A282" s="39"/>
      <c r="B282" s="245"/>
      <c r="C282" s="245"/>
      <c r="D282" s="61"/>
      <c r="E282" s="61"/>
      <c r="F282" s="61"/>
      <c r="G282" s="61"/>
      <c r="H282" s="61"/>
      <c r="I282" s="61"/>
      <c r="J282" s="61"/>
      <c r="K282" s="61"/>
      <c r="L282" s="61"/>
      <c r="M282" s="61"/>
      <c r="N282" s="61"/>
      <c r="O282" s="61"/>
      <c r="P282" s="61"/>
      <c r="Q282" s="61"/>
      <c r="R282" s="61"/>
      <c r="S282" s="62"/>
      <c r="T282" s="39"/>
    </row>
    <row r="283" spans="1:20" x14ac:dyDescent="0.15">
      <c r="A283" s="39"/>
      <c r="B283" s="246">
        <v>36</v>
      </c>
      <c r="C283" s="243" t="s">
        <v>441</v>
      </c>
      <c r="D283" s="59" t="s">
        <v>311</v>
      </c>
      <c r="E283" s="59" t="s">
        <v>182</v>
      </c>
      <c r="F283" s="59">
        <v>22</v>
      </c>
      <c r="G283" s="59" t="s">
        <v>915</v>
      </c>
      <c r="H283" s="59" t="s">
        <v>912</v>
      </c>
      <c r="I283" s="59" t="s">
        <v>913</v>
      </c>
      <c r="J283" s="59" t="s">
        <v>916</v>
      </c>
      <c r="K283" s="59" t="s">
        <v>704</v>
      </c>
      <c r="L283" s="59" t="s">
        <v>605</v>
      </c>
      <c r="M283" s="59" t="s">
        <v>957</v>
      </c>
      <c r="N283" s="59">
        <v>3</v>
      </c>
      <c r="O283" s="59">
        <v>2</v>
      </c>
      <c r="P283" s="59">
        <v>0</v>
      </c>
      <c r="Q283" s="59">
        <v>1</v>
      </c>
      <c r="R283" s="59">
        <v>6</v>
      </c>
      <c r="S283" s="60" t="s">
        <v>378</v>
      </c>
      <c r="T283" s="39"/>
    </row>
    <row r="284" spans="1:20" x14ac:dyDescent="0.15">
      <c r="A284" s="39"/>
      <c r="B284" s="244"/>
      <c r="C284" s="244"/>
      <c r="D284" s="55" t="s">
        <v>854</v>
      </c>
      <c r="E284" s="55" t="s">
        <v>184</v>
      </c>
      <c r="F284" s="55">
        <v>23</v>
      </c>
      <c r="G284" s="55" t="s">
        <v>911</v>
      </c>
      <c r="H284" s="55" t="s">
        <v>909</v>
      </c>
      <c r="I284" s="55" t="s">
        <v>928</v>
      </c>
      <c r="J284" s="55" t="s">
        <v>919</v>
      </c>
      <c r="K284" s="55" t="s">
        <v>605</v>
      </c>
      <c r="L284" s="55" t="s">
        <v>907</v>
      </c>
      <c r="M284" s="55" t="s">
        <v>605</v>
      </c>
      <c r="N284" s="55">
        <v>7</v>
      </c>
      <c r="O284" s="55">
        <v>0</v>
      </c>
      <c r="P284" s="55">
        <v>6</v>
      </c>
      <c r="Q284" s="55">
        <v>2</v>
      </c>
      <c r="R284" s="55">
        <v>0</v>
      </c>
      <c r="S284" s="56" t="s">
        <v>872</v>
      </c>
      <c r="T284" s="39"/>
    </row>
    <row r="285" spans="1:20" x14ac:dyDescent="0.15">
      <c r="A285" s="39"/>
      <c r="B285" s="244"/>
      <c r="C285" s="244"/>
      <c r="D285" s="55" t="s">
        <v>854</v>
      </c>
      <c r="E285" s="55" t="s">
        <v>186</v>
      </c>
      <c r="F285" s="55">
        <v>21</v>
      </c>
      <c r="G285" s="55" t="s">
        <v>605</v>
      </c>
      <c r="H285" s="55" t="s">
        <v>881</v>
      </c>
      <c r="I285" s="55" t="s">
        <v>932</v>
      </c>
      <c r="J285" s="55" t="s">
        <v>891</v>
      </c>
      <c r="K285" s="55" t="s">
        <v>605</v>
      </c>
      <c r="L285" s="55" t="s">
        <v>605</v>
      </c>
      <c r="M285" s="55" t="s">
        <v>605</v>
      </c>
      <c r="N285" s="55">
        <v>0</v>
      </c>
      <c r="O285" s="55">
        <v>0</v>
      </c>
      <c r="P285" s="55">
        <v>0</v>
      </c>
      <c r="Q285" s="55">
        <v>0</v>
      </c>
      <c r="R285" s="55">
        <v>0</v>
      </c>
      <c r="S285" s="56" t="s">
        <v>869</v>
      </c>
      <c r="T285" s="39"/>
    </row>
    <row r="286" spans="1:20" x14ac:dyDescent="0.15">
      <c r="A286" s="39"/>
      <c r="B286" s="244"/>
      <c r="C286" s="244"/>
      <c r="D286" s="55" t="s">
        <v>854</v>
      </c>
      <c r="E286" s="55" t="s">
        <v>188</v>
      </c>
      <c r="F286" s="55">
        <v>17</v>
      </c>
      <c r="G286" s="55" t="s">
        <v>900</v>
      </c>
      <c r="H286" s="55" t="s">
        <v>901</v>
      </c>
      <c r="I286" s="55" t="s">
        <v>605</v>
      </c>
      <c r="J286" s="55" t="s">
        <v>914</v>
      </c>
      <c r="K286" s="55" t="s">
        <v>605</v>
      </c>
      <c r="L286" s="55" t="s">
        <v>605</v>
      </c>
      <c r="M286" s="55" t="s">
        <v>605</v>
      </c>
      <c r="N286" s="55">
        <v>0</v>
      </c>
      <c r="O286" s="55">
        <v>2</v>
      </c>
      <c r="P286" s="55">
        <v>0</v>
      </c>
      <c r="Q286" s="55">
        <v>0</v>
      </c>
      <c r="R286" s="55">
        <v>0</v>
      </c>
      <c r="S286" s="56" t="s">
        <v>869</v>
      </c>
      <c r="T286" s="39"/>
    </row>
    <row r="287" spans="1:20" x14ac:dyDescent="0.15">
      <c r="A287" s="39"/>
      <c r="B287" s="244"/>
      <c r="C287" s="244"/>
      <c r="D287" s="55" t="s">
        <v>854</v>
      </c>
      <c r="E287" s="55" t="s">
        <v>190</v>
      </c>
      <c r="F287" s="55">
        <v>20</v>
      </c>
      <c r="G287" s="55" t="s">
        <v>605</v>
      </c>
      <c r="H287" s="55" t="s">
        <v>933</v>
      </c>
      <c r="I287" s="55" t="s">
        <v>934</v>
      </c>
      <c r="J287" s="55" t="s">
        <v>935</v>
      </c>
      <c r="K287" s="55" t="s">
        <v>605</v>
      </c>
      <c r="L287" s="55" t="s">
        <v>605</v>
      </c>
      <c r="M287" s="55" t="s">
        <v>936</v>
      </c>
      <c r="N287" s="55">
        <v>0</v>
      </c>
      <c r="O287" s="55">
        <v>0</v>
      </c>
      <c r="P287" s="55">
        <v>0</v>
      </c>
      <c r="Q287" s="55">
        <v>0</v>
      </c>
      <c r="R287" s="55">
        <v>0</v>
      </c>
      <c r="S287" s="56" t="s">
        <v>869</v>
      </c>
      <c r="T287" s="39"/>
    </row>
    <row r="288" spans="1:20" x14ac:dyDescent="0.15">
      <c r="A288" s="39"/>
      <c r="B288" s="244"/>
      <c r="C288" s="244"/>
      <c r="D288" s="55"/>
      <c r="E288" s="55" t="s">
        <v>194</v>
      </c>
      <c r="F288" s="55">
        <v>21</v>
      </c>
      <c r="G288" s="55" t="s">
        <v>605</v>
      </c>
      <c r="H288" s="55" t="s">
        <v>892</v>
      </c>
      <c r="I288" s="55" t="s">
        <v>605</v>
      </c>
      <c r="J288" s="55" t="s">
        <v>886</v>
      </c>
      <c r="K288" s="55" t="s">
        <v>605</v>
      </c>
      <c r="L288" s="55" t="s">
        <v>605</v>
      </c>
      <c r="M288" s="55" t="s">
        <v>605</v>
      </c>
      <c r="N288" s="55">
        <v>0</v>
      </c>
      <c r="O288" s="55">
        <v>0</v>
      </c>
      <c r="P288" s="55">
        <v>0</v>
      </c>
      <c r="Q288" s="55">
        <v>0</v>
      </c>
      <c r="R288" s="55">
        <v>0</v>
      </c>
      <c r="S288" s="56" t="s">
        <v>870</v>
      </c>
      <c r="T288" s="39"/>
    </row>
    <row r="289" spans="1:20" x14ac:dyDescent="0.15">
      <c r="A289" s="39"/>
      <c r="B289" s="244"/>
      <c r="C289" s="244"/>
      <c r="D289" s="55"/>
      <c r="E289" s="55" t="s">
        <v>192</v>
      </c>
      <c r="F289" s="55">
        <v>24</v>
      </c>
      <c r="G289" s="55" t="s">
        <v>937</v>
      </c>
      <c r="H289" s="55" t="s">
        <v>938</v>
      </c>
      <c r="I289" s="55" t="s">
        <v>930</v>
      </c>
      <c r="J289" s="55" t="s">
        <v>924</v>
      </c>
      <c r="K289" s="55" t="s">
        <v>898</v>
      </c>
      <c r="L289" s="55" t="s">
        <v>898</v>
      </c>
      <c r="M289" s="55" t="s">
        <v>955</v>
      </c>
      <c r="N289" s="55">
        <v>0</v>
      </c>
      <c r="O289" s="55">
        <v>0</v>
      </c>
      <c r="P289" s="55">
        <v>0</v>
      </c>
      <c r="Q289" s="55">
        <v>0</v>
      </c>
      <c r="R289" s="55">
        <v>0</v>
      </c>
      <c r="S289" s="56" t="s">
        <v>871</v>
      </c>
      <c r="T289" s="39"/>
    </row>
    <row r="290" spans="1:20" x14ac:dyDescent="0.15">
      <c r="A290" s="39"/>
      <c r="B290" s="245"/>
      <c r="C290" s="245"/>
      <c r="D290" s="61"/>
      <c r="E290" s="61" t="s">
        <v>196</v>
      </c>
      <c r="F290" s="61">
        <v>6</v>
      </c>
      <c r="G290" s="61" t="s">
        <v>925</v>
      </c>
      <c r="H290" s="61" t="s">
        <v>939</v>
      </c>
      <c r="I290" s="61" t="s">
        <v>926</v>
      </c>
      <c r="J290" s="61" t="s">
        <v>927</v>
      </c>
      <c r="K290" s="61" t="s">
        <v>704</v>
      </c>
      <c r="L290" s="61" t="s">
        <v>605</v>
      </c>
      <c r="M290" s="61" t="s">
        <v>605</v>
      </c>
      <c r="N290" s="61">
        <v>0</v>
      </c>
      <c r="O290" s="61">
        <v>0</v>
      </c>
      <c r="P290" s="61">
        <v>0</v>
      </c>
      <c r="Q290" s="61">
        <v>0</v>
      </c>
      <c r="R290" s="61">
        <v>0</v>
      </c>
      <c r="S290" s="62" t="s">
        <v>393</v>
      </c>
      <c r="T290" s="39"/>
    </row>
    <row r="291" spans="1:20" x14ac:dyDescent="0.15">
      <c r="A291" s="39"/>
      <c r="B291" s="246">
        <v>37</v>
      </c>
      <c r="C291" s="243" t="s">
        <v>442</v>
      </c>
      <c r="D291" s="59" t="s">
        <v>313</v>
      </c>
      <c r="E291" s="59" t="s">
        <v>182</v>
      </c>
      <c r="F291" s="59">
        <v>22</v>
      </c>
      <c r="G291" s="59" t="s">
        <v>915</v>
      </c>
      <c r="H291" s="59" t="s">
        <v>912</v>
      </c>
      <c r="I291" s="59" t="s">
        <v>913</v>
      </c>
      <c r="J291" s="59" t="s">
        <v>916</v>
      </c>
      <c r="K291" s="59" t="s">
        <v>704</v>
      </c>
      <c r="L291" s="59" t="s">
        <v>605</v>
      </c>
      <c r="M291" s="59" t="s">
        <v>957</v>
      </c>
      <c r="N291" s="59">
        <v>3</v>
      </c>
      <c r="O291" s="59">
        <v>2</v>
      </c>
      <c r="P291" s="59">
        <v>0</v>
      </c>
      <c r="Q291" s="59">
        <v>1</v>
      </c>
      <c r="R291" s="59">
        <v>6</v>
      </c>
      <c r="S291" s="60" t="s">
        <v>378</v>
      </c>
      <c r="T291" s="39"/>
    </row>
    <row r="292" spans="1:20" x14ac:dyDescent="0.15">
      <c r="A292" s="39"/>
      <c r="B292" s="244"/>
      <c r="C292" s="244"/>
      <c r="D292" s="55" t="s">
        <v>855</v>
      </c>
      <c r="E292" s="55" t="s">
        <v>184</v>
      </c>
      <c r="F292" s="55">
        <v>23</v>
      </c>
      <c r="G292" s="55" t="s">
        <v>925</v>
      </c>
      <c r="H292" s="55" t="s">
        <v>909</v>
      </c>
      <c r="I292" s="55" t="s">
        <v>928</v>
      </c>
      <c r="J292" s="55" t="s">
        <v>919</v>
      </c>
      <c r="K292" s="55" t="s">
        <v>605</v>
      </c>
      <c r="L292" s="55" t="s">
        <v>907</v>
      </c>
      <c r="M292" s="55" t="s">
        <v>605</v>
      </c>
      <c r="N292" s="55">
        <v>7</v>
      </c>
      <c r="O292" s="55">
        <v>0</v>
      </c>
      <c r="P292" s="55">
        <v>6</v>
      </c>
      <c r="Q292" s="55">
        <v>2</v>
      </c>
      <c r="R292" s="55">
        <v>0</v>
      </c>
      <c r="S292" s="56" t="s">
        <v>873</v>
      </c>
      <c r="T292" s="39"/>
    </row>
    <row r="293" spans="1:20" x14ac:dyDescent="0.15">
      <c r="A293" s="39"/>
      <c r="B293" s="244"/>
      <c r="C293" s="244"/>
      <c r="D293" s="55" t="s">
        <v>855</v>
      </c>
      <c r="E293" s="55" t="s">
        <v>186</v>
      </c>
      <c r="F293" s="55">
        <v>21</v>
      </c>
      <c r="G293" s="55" t="s">
        <v>605</v>
      </c>
      <c r="H293" s="55" t="s">
        <v>881</v>
      </c>
      <c r="I293" s="55" t="s">
        <v>932</v>
      </c>
      <c r="J293" s="55" t="s">
        <v>891</v>
      </c>
      <c r="K293" s="55" t="s">
        <v>605</v>
      </c>
      <c r="L293" s="55" t="s">
        <v>605</v>
      </c>
      <c r="M293" s="55" t="s">
        <v>605</v>
      </c>
      <c r="N293" s="55">
        <v>0</v>
      </c>
      <c r="O293" s="55">
        <v>0</v>
      </c>
      <c r="P293" s="55">
        <v>0</v>
      </c>
      <c r="Q293" s="55">
        <v>0</v>
      </c>
      <c r="R293" s="55">
        <v>0</v>
      </c>
      <c r="S293" s="56" t="s">
        <v>869</v>
      </c>
      <c r="T293" s="39"/>
    </row>
    <row r="294" spans="1:20" x14ac:dyDescent="0.15">
      <c r="A294" s="39"/>
      <c r="B294" s="244"/>
      <c r="C294" s="244"/>
      <c r="D294" s="55" t="s">
        <v>855</v>
      </c>
      <c r="E294" s="55" t="s">
        <v>188</v>
      </c>
      <c r="F294" s="55">
        <v>17</v>
      </c>
      <c r="G294" s="55" t="s">
        <v>900</v>
      </c>
      <c r="H294" s="55" t="s">
        <v>901</v>
      </c>
      <c r="I294" s="55" t="s">
        <v>605</v>
      </c>
      <c r="J294" s="55" t="s">
        <v>914</v>
      </c>
      <c r="K294" s="55" t="s">
        <v>605</v>
      </c>
      <c r="L294" s="55" t="s">
        <v>605</v>
      </c>
      <c r="M294" s="55" t="s">
        <v>605</v>
      </c>
      <c r="N294" s="55">
        <v>0</v>
      </c>
      <c r="O294" s="55">
        <v>2</v>
      </c>
      <c r="P294" s="55">
        <v>0</v>
      </c>
      <c r="Q294" s="55">
        <v>0</v>
      </c>
      <c r="R294" s="55">
        <v>0</v>
      </c>
      <c r="S294" s="56" t="s">
        <v>869</v>
      </c>
      <c r="T294" s="39"/>
    </row>
    <row r="295" spans="1:20" x14ac:dyDescent="0.15">
      <c r="A295" s="39"/>
      <c r="B295" s="244"/>
      <c r="C295" s="244"/>
      <c r="D295" s="55" t="s">
        <v>855</v>
      </c>
      <c r="E295" s="55" t="s">
        <v>190</v>
      </c>
      <c r="F295" s="55">
        <v>20</v>
      </c>
      <c r="G295" s="55" t="s">
        <v>605</v>
      </c>
      <c r="H295" s="55" t="s">
        <v>933</v>
      </c>
      <c r="I295" s="55" t="s">
        <v>934</v>
      </c>
      <c r="J295" s="55" t="s">
        <v>935</v>
      </c>
      <c r="K295" s="55" t="s">
        <v>605</v>
      </c>
      <c r="L295" s="55" t="s">
        <v>605</v>
      </c>
      <c r="M295" s="55" t="s">
        <v>936</v>
      </c>
      <c r="N295" s="55">
        <v>0</v>
      </c>
      <c r="O295" s="55">
        <v>0</v>
      </c>
      <c r="P295" s="55">
        <v>0</v>
      </c>
      <c r="Q295" s="55">
        <v>0</v>
      </c>
      <c r="R295" s="55">
        <v>0</v>
      </c>
      <c r="S295" s="56" t="s">
        <v>869</v>
      </c>
      <c r="T295" s="39"/>
    </row>
    <row r="296" spans="1:20" x14ac:dyDescent="0.15">
      <c r="A296" s="39"/>
      <c r="B296" s="244"/>
      <c r="C296" s="244"/>
      <c r="D296" s="55" t="s">
        <v>855</v>
      </c>
      <c r="E296" s="55" t="s">
        <v>194</v>
      </c>
      <c r="F296" s="55">
        <v>21</v>
      </c>
      <c r="G296" s="55" t="s">
        <v>605</v>
      </c>
      <c r="H296" s="55" t="s">
        <v>892</v>
      </c>
      <c r="I296" s="55" t="s">
        <v>605</v>
      </c>
      <c r="J296" s="55" t="s">
        <v>886</v>
      </c>
      <c r="K296" s="55" t="s">
        <v>605</v>
      </c>
      <c r="L296" s="55" t="s">
        <v>605</v>
      </c>
      <c r="M296" s="55" t="s">
        <v>605</v>
      </c>
      <c r="N296" s="55">
        <v>0</v>
      </c>
      <c r="O296" s="55">
        <v>0</v>
      </c>
      <c r="P296" s="55">
        <v>0</v>
      </c>
      <c r="Q296" s="55">
        <v>0</v>
      </c>
      <c r="R296" s="55">
        <v>0</v>
      </c>
      <c r="S296" s="56" t="s">
        <v>870</v>
      </c>
      <c r="T296" s="39"/>
    </row>
    <row r="297" spans="1:20" x14ac:dyDescent="0.15">
      <c r="A297" s="39"/>
      <c r="B297" s="244"/>
      <c r="C297" s="244"/>
      <c r="D297" s="55" t="s">
        <v>855</v>
      </c>
      <c r="E297" s="55" t="s">
        <v>192</v>
      </c>
      <c r="F297" s="55">
        <v>24</v>
      </c>
      <c r="G297" s="55" t="s">
        <v>937</v>
      </c>
      <c r="H297" s="55" t="s">
        <v>938</v>
      </c>
      <c r="I297" s="55" t="s">
        <v>930</v>
      </c>
      <c r="J297" s="55" t="s">
        <v>924</v>
      </c>
      <c r="K297" s="55" t="s">
        <v>898</v>
      </c>
      <c r="L297" s="55" t="s">
        <v>898</v>
      </c>
      <c r="M297" s="55" t="s">
        <v>955</v>
      </c>
      <c r="N297" s="55">
        <v>0</v>
      </c>
      <c r="O297" s="55">
        <v>0</v>
      </c>
      <c r="P297" s="55">
        <v>0</v>
      </c>
      <c r="Q297" s="55">
        <v>0</v>
      </c>
      <c r="R297" s="55">
        <v>0</v>
      </c>
      <c r="S297" s="56" t="s">
        <v>871</v>
      </c>
      <c r="T297" s="39"/>
    </row>
    <row r="298" spans="1:20" x14ac:dyDescent="0.15">
      <c r="A298" s="39"/>
      <c r="B298" s="245"/>
      <c r="C298" s="245"/>
      <c r="D298" s="61" t="s">
        <v>855</v>
      </c>
      <c r="E298" s="61" t="s">
        <v>196</v>
      </c>
      <c r="F298" s="61">
        <v>6</v>
      </c>
      <c r="G298" s="61" t="s">
        <v>925</v>
      </c>
      <c r="H298" s="61" t="s">
        <v>939</v>
      </c>
      <c r="I298" s="61" t="s">
        <v>926</v>
      </c>
      <c r="J298" s="61" t="s">
        <v>927</v>
      </c>
      <c r="K298" s="61" t="s">
        <v>704</v>
      </c>
      <c r="L298" s="61" t="s">
        <v>605</v>
      </c>
      <c r="M298" s="61" t="s">
        <v>605</v>
      </c>
      <c r="N298" s="61">
        <v>0</v>
      </c>
      <c r="O298" s="61">
        <v>0</v>
      </c>
      <c r="P298" s="61">
        <v>0</v>
      </c>
      <c r="Q298" s="61">
        <v>0</v>
      </c>
      <c r="R298" s="61">
        <v>0</v>
      </c>
      <c r="S298" s="62" t="s">
        <v>393</v>
      </c>
      <c r="T298" s="39"/>
    </row>
    <row r="299" spans="1:20" x14ac:dyDescent="0.15">
      <c r="A299" s="39"/>
      <c r="B299" s="243">
        <v>38</v>
      </c>
      <c r="C299" s="243" t="s">
        <v>316</v>
      </c>
      <c r="D299" s="59" t="s">
        <v>315</v>
      </c>
      <c r="E299" s="59" t="s">
        <v>182</v>
      </c>
      <c r="F299" s="59">
        <v>22</v>
      </c>
      <c r="G299" s="59" t="s">
        <v>915</v>
      </c>
      <c r="H299" s="59" t="s">
        <v>912</v>
      </c>
      <c r="I299" s="59" t="s">
        <v>913</v>
      </c>
      <c r="J299" s="59" t="s">
        <v>916</v>
      </c>
      <c r="K299" s="59" t="s">
        <v>956</v>
      </c>
      <c r="L299" s="59" t="s">
        <v>605</v>
      </c>
      <c r="M299" s="59" t="s">
        <v>957</v>
      </c>
      <c r="N299" s="59">
        <v>3</v>
      </c>
      <c r="O299" s="59">
        <v>1</v>
      </c>
      <c r="P299" s="59">
        <v>0</v>
      </c>
      <c r="Q299" s="59">
        <v>1</v>
      </c>
      <c r="R299" s="59">
        <v>6</v>
      </c>
      <c r="S299" s="60" t="s">
        <v>378</v>
      </c>
      <c r="T299" s="39"/>
    </row>
    <row r="300" spans="1:20" x14ac:dyDescent="0.15">
      <c r="A300" s="39"/>
      <c r="B300" s="244"/>
      <c r="C300" s="244"/>
      <c r="D300" s="55" t="s">
        <v>856</v>
      </c>
      <c r="E300" s="55" t="s">
        <v>184</v>
      </c>
      <c r="F300" s="55">
        <v>23</v>
      </c>
      <c r="G300" s="55" t="s">
        <v>940</v>
      </c>
      <c r="H300" s="55" t="s">
        <v>909</v>
      </c>
      <c r="I300" s="55" t="s">
        <v>928</v>
      </c>
      <c r="J300" s="55" t="s">
        <v>919</v>
      </c>
      <c r="K300" s="55" t="s">
        <v>605</v>
      </c>
      <c r="L300" s="55" t="s">
        <v>907</v>
      </c>
      <c r="M300" s="55" t="s">
        <v>605</v>
      </c>
      <c r="N300" s="55">
        <v>7</v>
      </c>
      <c r="O300" s="55">
        <v>0</v>
      </c>
      <c r="P300" s="55">
        <v>6</v>
      </c>
      <c r="Q300" s="55">
        <v>2</v>
      </c>
      <c r="R300" s="55">
        <v>0</v>
      </c>
      <c r="S300" s="56" t="s">
        <v>872</v>
      </c>
      <c r="T300" s="39"/>
    </row>
    <row r="301" spans="1:20" x14ac:dyDescent="0.15">
      <c r="A301" s="39"/>
      <c r="B301" s="244"/>
      <c r="C301" s="244"/>
      <c r="D301" s="55" t="s">
        <v>856</v>
      </c>
      <c r="E301" s="55" t="s">
        <v>186</v>
      </c>
      <c r="F301" s="55">
        <v>21</v>
      </c>
      <c r="G301" s="55" t="s">
        <v>605</v>
      </c>
      <c r="H301" s="55" t="s">
        <v>881</v>
      </c>
      <c r="I301" s="55" t="s">
        <v>932</v>
      </c>
      <c r="J301" s="55" t="s">
        <v>891</v>
      </c>
      <c r="K301" s="55" t="s">
        <v>605</v>
      </c>
      <c r="L301" s="55" t="s">
        <v>605</v>
      </c>
      <c r="M301" s="55" t="s">
        <v>605</v>
      </c>
      <c r="N301" s="55">
        <v>0</v>
      </c>
      <c r="O301" s="55">
        <v>0</v>
      </c>
      <c r="P301" s="55">
        <v>0</v>
      </c>
      <c r="Q301" s="55">
        <v>0</v>
      </c>
      <c r="R301" s="55">
        <v>0</v>
      </c>
      <c r="S301" s="56" t="s">
        <v>869</v>
      </c>
      <c r="T301" s="39"/>
    </row>
    <row r="302" spans="1:20" x14ac:dyDescent="0.15">
      <c r="A302" s="39"/>
      <c r="B302" s="244"/>
      <c r="C302" s="244"/>
      <c r="D302" s="55" t="s">
        <v>856</v>
      </c>
      <c r="E302" s="55" t="s">
        <v>188</v>
      </c>
      <c r="F302" s="55">
        <v>17</v>
      </c>
      <c r="G302" s="55" t="s">
        <v>900</v>
      </c>
      <c r="H302" s="55" t="s">
        <v>901</v>
      </c>
      <c r="I302" s="55" t="s">
        <v>605</v>
      </c>
      <c r="J302" s="55" t="s">
        <v>914</v>
      </c>
      <c r="K302" s="55" t="s">
        <v>605</v>
      </c>
      <c r="L302" s="55" t="s">
        <v>605</v>
      </c>
      <c r="M302" s="55" t="s">
        <v>605</v>
      </c>
      <c r="N302" s="55">
        <v>0</v>
      </c>
      <c r="O302" s="55">
        <v>2</v>
      </c>
      <c r="P302" s="55">
        <v>0</v>
      </c>
      <c r="Q302" s="55">
        <v>0</v>
      </c>
      <c r="R302" s="55">
        <v>0</v>
      </c>
      <c r="S302" s="56" t="s">
        <v>869</v>
      </c>
      <c r="T302" s="39"/>
    </row>
    <row r="303" spans="1:20" x14ac:dyDescent="0.15">
      <c r="A303" s="39"/>
      <c r="B303" s="244"/>
      <c r="C303" s="244"/>
      <c r="D303" s="55" t="s">
        <v>856</v>
      </c>
      <c r="E303" s="55" t="s">
        <v>190</v>
      </c>
      <c r="F303" s="55">
        <v>20</v>
      </c>
      <c r="G303" s="55" t="s">
        <v>605</v>
      </c>
      <c r="H303" s="55" t="s">
        <v>933</v>
      </c>
      <c r="I303" s="55" t="s">
        <v>934</v>
      </c>
      <c r="J303" s="55" t="s">
        <v>935</v>
      </c>
      <c r="K303" s="55" t="s">
        <v>605</v>
      </c>
      <c r="L303" s="55" t="s">
        <v>605</v>
      </c>
      <c r="M303" s="55" t="s">
        <v>936</v>
      </c>
      <c r="N303" s="55">
        <v>0</v>
      </c>
      <c r="O303" s="55">
        <v>0</v>
      </c>
      <c r="P303" s="55">
        <v>0</v>
      </c>
      <c r="Q303" s="55">
        <v>0</v>
      </c>
      <c r="R303" s="55">
        <v>0</v>
      </c>
      <c r="S303" s="56" t="s">
        <v>869</v>
      </c>
      <c r="T303" s="39"/>
    </row>
    <row r="304" spans="1:20" x14ac:dyDescent="0.15">
      <c r="A304" s="39"/>
      <c r="B304" s="244"/>
      <c r="C304" s="244"/>
      <c r="D304" s="55" t="s">
        <v>857</v>
      </c>
      <c r="E304" s="55" t="s">
        <v>194</v>
      </c>
      <c r="F304" s="55">
        <v>21</v>
      </c>
      <c r="G304" s="55" t="s">
        <v>605</v>
      </c>
      <c r="H304" s="55" t="s">
        <v>892</v>
      </c>
      <c r="I304" s="55" t="s">
        <v>605</v>
      </c>
      <c r="J304" s="55" t="s">
        <v>886</v>
      </c>
      <c r="K304" s="55" t="s">
        <v>605</v>
      </c>
      <c r="L304" s="55" t="s">
        <v>605</v>
      </c>
      <c r="M304" s="55" t="s">
        <v>605</v>
      </c>
      <c r="N304" s="55">
        <v>0</v>
      </c>
      <c r="O304" s="55">
        <v>0</v>
      </c>
      <c r="P304" s="55">
        <v>0</v>
      </c>
      <c r="Q304" s="55">
        <v>0</v>
      </c>
      <c r="R304" s="55">
        <v>0</v>
      </c>
      <c r="S304" s="56" t="s">
        <v>870</v>
      </c>
      <c r="T304" s="39"/>
    </row>
    <row r="305" spans="1:20" x14ac:dyDescent="0.15">
      <c r="A305" s="39"/>
      <c r="B305" s="244"/>
      <c r="C305" s="244"/>
      <c r="D305" s="55" t="s">
        <v>858</v>
      </c>
      <c r="E305" s="55" t="s">
        <v>192</v>
      </c>
      <c r="F305" s="55">
        <v>24</v>
      </c>
      <c r="G305" s="55" t="s">
        <v>937</v>
      </c>
      <c r="H305" s="55" t="s">
        <v>938</v>
      </c>
      <c r="I305" s="55" t="s">
        <v>930</v>
      </c>
      <c r="J305" s="55" t="s">
        <v>924</v>
      </c>
      <c r="K305" s="55" t="s">
        <v>898</v>
      </c>
      <c r="L305" s="55" t="s">
        <v>898</v>
      </c>
      <c r="M305" s="55" t="s">
        <v>955</v>
      </c>
      <c r="N305" s="55">
        <v>0</v>
      </c>
      <c r="O305" s="55">
        <v>0</v>
      </c>
      <c r="P305" s="55">
        <v>0</v>
      </c>
      <c r="Q305" s="55">
        <v>0</v>
      </c>
      <c r="R305" s="55">
        <v>0</v>
      </c>
      <c r="S305" s="56" t="s">
        <v>871</v>
      </c>
      <c r="T305" s="39"/>
    </row>
    <row r="306" spans="1:20" x14ac:dyDescent="0.15">
      <c r="A306" s="39"/>
      <c r="B306" s="245"/>
      <c r="C306" s="245"/>
      <c r="D306" s="61" t="s">
        <v>858</v>
      </c>
      <c r="E306" s="61" t="s">
        <v>196</v>
      </c>
      <c r="F306" s="61">
        <v>6</v>
      </c>
      <c r="G306" s="61" t="s">
        <v>925</v>
      </c>
      <c r="H306" s="61" t="s">
        <v>939</v>
      </c>
      <c r="I306" s="61" t="s">
        <v>926</v>
      </c>
      <c r="J306" s="61" t="s">
        <v>927</v>
      </c>
      <c r="K306" s="61" t="s">
        <v>704</v>
      </c>
      <c r="L306" s="61" t="s">
        <v>605</v>
      </c>
      <c r="M306" s="61" t="s">
        <v>605</v>
      </c>
      <c r="N306" s="61">
        <v>0</v>
      </c>
      <c r="O306" s="61">
        <v>0</v>
      </c>
      <c r="P306" s="61">
        <v>0</v>
      </c>
      <c r="Q306" s="61">
        <v>0</v>
      </c>
      <c r="R306" s="61">
        <v>0</v>
      </c>
      <c r="S306" s="62" t="s">
        <v>719</v>
      </c>
      <c r="T306" s="39"/>
    </row>
    <row r="307" spans="1:20" x14ac:dyDescent="0.15">
      <c r="A307" s="39"/>
      <c r="B307" s="243">
        <v>39</v>
      </c>
      <c r="C307" s="243"/>
      <c r="D307" s="59"/>
      <c r="E307" s="59"/>
      <c r="F307" s="59"/>
      <c r="G307" s="59"/>
      <c r="H307" s="59"/>
      <c r="I307" s="59"/>
      <c r="J307" s="59"/>
      <c r="K307" s="59"/>
      <c r="L307" s="59"/>
      <c r="M307" s="59"/>
      <c r="N307" s="59"/>
      <c r="O307" s="59"/>
      <c r="P307" s="59"/>
      <c r="Q307" s="59"/>
      <c r="R307" s="59"/>
      <c r="S307" s="60"/>
      <c r="T307" s="39"/>
    </row>
    <row r="308" spans="1:20" x14ac:dyDescent="0.15">
      <c r="A308" s="39"/>
      <c r="B308" s="244"/>
      <c r="C308" s="244"/>
      <c r="D308" s="55"/>
      <c r="E308" s="55"/>
      <c r="F308" s="55"/>
      <c r="G308" s="55"/>
      <c r="H308" s="55"/>
      <c r="I308" s="55"/>
      <c r="J308" s="55"/>
      <c r="K308" s="55"/>
      <c r="L308" s="55"/>
      <c r="M308" s="55"/>
      <c r="N308" s="55"/>
      <c r="O308" s="55"/>
      <c r="P308" s="55"/>
      <c r="Q308" s="55"/>
      <c r="R308" s="55"/>
      <c r="S308" s="56"/>
      <c r="T308" s="39"/>
    </row>
    <row r="309" spans="1:20" x14ac:dyDescent="0.15">
      <c r="A309" s="39"/>
      <c r="B309" s="244"/>
      <c r="C309" s="244"/>
      <c r="D309" s="55"/>
      <c r="E309" s="55"/>
      <c r="F309" s="55"/>
      <c r="G309" s="55"/>
      <c r="H309" s="55"/>
      <c r="I309" s="55"/>
      <c r="J309" s="55"/>
      <c r="K309" s="55"/>
      <c r="L309" s="55"/>
      <c r="M309" s="55"/>
      <c r="N309" s="55"/>
      <c r="O309" s="55"/>
      <c r="P309" s="55"/>
      <c r="Q309" s="55"/>
      <c r="R309" s="55"/>
      <c r="S309" s="56"/>
      <c r="T309" s="39"/>
    </row>
    <row r="310" spans="1:20" x14ac:dyDescent="0.15">
      <c r="A310" s="39"/>
      <c r="B310" s="244"/>
      <c r="C310" s="244"/>
      <c r="D310" s="55"/>
      <c r="E310" s="55"/>
      <c r="F310" s="55"/>
      <c r="G310" s="55"/>
      <c r="H310" s="55"/>
      <c r="I310" s="55"/>
      <c r="J310" s="55"/>
      <c r="K310" s="55"/>
      <c r="L310" s="55"/>
      <c r="M310" s="55"/>
      <c r="N310" s="55"/>
      <c r="O310" s="55"/>
      <c r="P310" s="55"/>
      <c r="Q310" s="55"/>
      <c r="R310" s="55"/>
      <c r="S310" s="56"/>
      <c r="T310" s="39"/>
    </row>
    <row r="311" spans="1:20" x14ac:dyDescent="0.15">
      <c r="A311" s="39"/>
      <c r="B311" s="244"/>
      <c r="C311" s="244"/>
      <c r="D311" s="55"/>
      <c r="E311" s="55"/>
      <c r="F311" s="55"/>
      <c r="G311" s="55"/>
      <c r="H311" s="55"/>
      <c r="I311" s="55"/>
      <c r="J311" s="55"/>
      <c r="K311" s="55"/>
      <c r="L311" s="55"/>
      <c r="M311" s="55"/>
      <c r="N311" s="55"/>
      <c r="O311" s="55"/>
      <c r="P311" s="55"/>
      <c r="Q311" s="55"/>
      <c r="R311" s="55"/>
      <c r="S311" s="56"/>
      <c r="T311" s="39"/>
    </row>
    <row r="312" spans="1:20" x14ac:dyDescent="0.15">
      <c r="A312" s="39"/>
      <c r="B312" s="244"/>
      <c r="C312" s="244"/>
      <c r="D312" s="55"/>
      <c r="E312" s="55"/>
      <c r="F312" s="55"/>
      <c r="G312" s="55"/>
      <c r="H312" s="55"/>
      <c r="I312" s="55"/>
      <c r="J312" s="55"/>
      <c r="K312" s="55"/>
      <c r="L312" s="55"/>
      <c r="M312" s="55"/>
      <c r="N312" s="55"/>
      <c r="O312" s="55"/>
      <c r="P312" s="55"/>
      <c r="Q312" s="55"/>
      <c r="R312" s="55"/>
      <c r="S312" s="56"/>
      <c r="T312" s="39"/>
    </row>
    <row r="313" spans="1:20" x14ac:dyDescent="0.15">
      <c r="A313" s="39"/>
      <c r="B313" s="244"/>
      <c r="C313" s="244"/>
      <c r="D313" s="55"/>
      <c r="E313" s="55"/>
      <c r="F313" s="55"/>
      <c r="G313" s="55"/>
      <c r="H313" s="55"/>
      <c r="I313" s="55"/>
      <c r="J313" s="55"/>
      <c r="K313" s="55"/>
      <c r="L313" s="55"/>
      <c r="M313" s="55"/>
      <c r="N313" s="55"/>
      <c r="O313" s="55"/>
      <c r="P313" s="55"/>
      <c r="Q313" s="55"/>
      <c r="R313" s="55"/>
      <c r="S313" s="56"/>
      <c r="T313" s="39"/>
    </row>
    <row r="314" spans="1:20" x14ac:dyDescent="0.15">
      <c r="A314" s="39"/>
      <c r="B314" s="245"/>
      <c r="C314" s="245"/>
      <c r="D314" s="61"/>
      <c r="E314" s="61"/>
      <c r="F314" s="61"/>
      <c r="G314" s="61"/>
      <c r="H314" s="61"/>
      <c r="I314" s="61"/>
      <c r="J314" s="61"/>
      <c r="K314" s="61"/>
      <c r="L314" s="61"/>
      <c r="M314" s="61"/>
      <c r="N314" s="61"/>
      <c r="O314" s="61"/>
      <c r="P314" s="61"/>
      <c r="Q314" s="61"/>
      <c r="R314" s="61"/>
      <c r="S314" s="62"/>
      <c r="T314" s="39"/>
    </row>
    <row r="315" spans="1:20" x14ac:dyDescent="0.15">
      <c r="A315" s="39"/>
      <c r="B315" s="243">
        <v>40</v>
      </c>
      <c r="C315" s="243"/>
      <c r="D315" s="59"/>
      <c r="E315" s="59"/>
      <c r="F315" s="59"/>
      <c r="G315" s="59"/>
      <c r="H315" s="59"/>
      <c r="I315" s="59"/>
      <c r="J315" s="59"/>
      <c r="K315" s="59"/>
      <c r="L315" s="59"/>
      <c r="M315" s="59"/>
      <c r="N315" s="59"/>
      <c r="O315" s="59"/>
      <c r="P315" s="59"/>
      <c r="Q315" s="59"/>
      <c r="R315" s="59"/>
      <c r="S315" s="60"/>
      <c r="T315" s="39"/>
    </row>
    <row r="316" spans="1:20" x14ac:dyDescent="0.15">
      <c r="A316" s="39"/>
      <c r="B316" s="244"/>
      <c r="C316" s="244"/>
      <c r="D316" s="55"/>
      <c r="E316" s="55"/>
      <c r="F316" s="55"/>
      <c r="G316" s="55"/>
      <c r="H316" s="55"/>
      <c r="I316" s="55"/>
      <c r="J316" s="55"/>
      <c r="K316" s="55"/>
      <c r="L316" s="55"/>
      <c r="M316" s="55"/>
      <c r="N316" s="55"/>
      <c r="O316" s="55"/>
      <c r="P316" s="55"/>
      <c r="Q316" s="55"/>
      <c r="R316" s="55"/>
      <c r="S316" s="56"/>
      <c r="T316" s="39"/>
    </row>
    <row r="317" spans="1:20" x14ac:dyDescent="0.15">
      <c r="A317" s="39"/>
      <c r="B317" s="244"/>
      <c r="C317" s="244"/>
      <c r="D317" s="55"/>
      <c r="E317" s="55"/>
      <c r="F317" s="55"/>
      <c r="G317" s="55"/>
      <c r="H317" s="55"/>
      <c r="I317" s="55"/>
      <c r="J317" s="55"/>
      <c r="K317" s="55"/>
      <c r="L317" s="55"/>
      <c r="M317" s="55"/>
      <c r="N317" s="55"/>
      <c r="O317" s="55"/>
      <c r="P317" s="55"/>
      <c r="Q317" s="55"/>
      <c r="R317" s="55"/>
      <c r="S317" s="56"/>
      <c r="T317" s="39"/>
    </row>
    <row r="318" spans="1:20" x14ac:dyDescent="0.15">
      <c r="A318" s="39"/>
      <c r="B318" s="244"/>
      <c r="C318" s="244"/>
      <c r="D318" s="55"/>
      <c r="E318" s="55"/>
      <c r="F318" s="55"/>
      <c r="G318" s="55"/>
      <c r="H318" s="55"/>
      <c r="I318" s="55"/>
      <c r="J318" s="55"/>
      <c r="K318" s="55"/>
      <c r="L318" s="55"/>
      <c r="M318" s="55"/>
      <c r="N318" s="55"/>
      <c r="O318" s="55"/>
      <c r="P318" s="55"/>
      <c r="Q318" s="55"/>
      <c r="R318" s="55"/>
      <c r="S318" s="56"/>
      <c r="T318" s="39"/>
    </row>
    <row r="319" spans="1:20" x14ac:dyDescent="0.15">
      <c r="A319" s="39"/>
      <c r="B319" s="244"/>
      <c r="C319" s="244"/>
      <c r="D319" s="55"/>
      <c r="E319" s="55"/>
      <c r="F319" s="55"/>
      <c r="G319" s="55"/>
      <c r="H319" s="55"/>
      <c r="I319" s="55"/>
      <c r="J319" s="55"/>
      <c r="K319" s="55"/>
      <c r="L319" s="55"/>
      <c r="M319" s="55"/>
      <c r="N319" s="55"/>
      <c r="O319" s="55"/>
      <c r="P319" s="55"/>
      <c r="Q319" s="55"/>
      <c r="R319" s="55"/>
      <c r="S319" s="56"/>
      <c r="T319" s="39"/>
    </row>
    <row r="320" spans="1:20" x14ac:dyDescent="0.15">
      <c r="A320" s="39"/>
      <c r="B320" s="244"/>
      <c r="C320" s="244"/>
      <c r="D320" s="55"/>
      <c r="E320" s="55"/>
      <c r="F320" s="55"/>
      <c r="G320" s="55"/>
      <c r="H320" s="55"/>
      <c r="I320" s="55"/>
      <c r="J320" s="55"/>
      <c r="K320" s="55"/>
      <c r="L320" s="55"/>
      <c r="M320" s="55"/>
      <c r="N320" s="55"/>
      <c r="O320" s="55"/>
      <c r="P320" s="55"/>
      <c r="Q320" s="55"/>
      <c r="R320" s="55"/>
      <c r="S320" s="56"/>
      <c r="T320" s="39"/>
    </row>
    <row r="321" spans="1:20" x14ac:dyDescent="0.15">
      <c r="A321" s="39"/>
      <c r="B321" s="244"/>
      <c r="C321" s="244"/>
      <c r="D321" s="55"/>
      <c r="E321" s="55"/>
      <c r="F321" s="55"/>
      <c r="G321" s="55"/>
      <c r="H321" s="55"/>
      <c r="I321" s="55"/>
      <c r="J321" s="55"/>
      <c r="K321" s="55"/>
      <c r="L321" s="55"/>
      <c r="M321" s="55"/>
      <c r="N321" s="55"/>
      <c r="O321" s="55"/>
      <c r="P321" s="55"/>
      <c r="Q321" s="55"/>
      <c r="R321" s="55"/>
      <c r="S321" s="56"/>
      <c r="T321" s="39"/>
    </row>
    <row r="322" spans="1:20" x14ac:dyDescent="0.15">
      <c r="A322" s="39"/>
      <c r="B322" s="245"/>
      <c r="C322" s="245"/>
      <c r="D322" s="61"/>
      <c r="E322" s="61"/>
      <c r="F322" s="61"/>
      <c r="G322" s="61"/>
      <c r="H322" s="61"/>
      <c r="I322" s="61"/>
      <c r="J322" s="61"/>
      <c r="K322" s="61"/>
      <c r="L322" s="61"/>
      <c r="M322" s="61"/>
      <c r="N322" s="61"/>
      <c r="O322" s="61"/>
      <c r="P322" s="61"/>
      <c r="Q322" s="61"/>
      <c r="R322" s="61"/>
      <c r="S322" s="62"/>
      <c r="T322" s="39"/>
    </row>
  </sheetData>
  <mergeCells count="80">
    <mergeCell ref="B243:B250"/>
    <mergeCell ref="C243:C250"/>
    <mergeCell ref="B299:B306"/>
    <mergeCell ref="C299:C306"/>
    <mergeCell ref="B259:B266"/>
    <mergeCell ref="C259:C266"/>
    <mergeCell ref="B267:B274"/>
    <mergeCell ref="C267:C274"/>
    <mergeCell ref="B275:B282"/>
    <mergeCell ref="C275:C282"/>
    <mergeCell ref="B251:B258"/>
    <mergeCell ref="C251:C258"/>
    <mergeCell ref="B283:B290"/>
    <mergeCell ref="C283:C290"/>
    <mergeCell ref="B291:B298"/>
    <mergeCell ref="C291:C298"/>
    <mergeCell ref="B219:B226"/>
    <mergeCell ref="C219:C226"/>
    <mergeCell ref="B227:B234"/>
    <mergeCell ref="C227:C234"/>
    <mergeCell ref="B235:B242"/>
    <mergeCell ref="C235:C242"/>
    <mergeCell ref="B195:B202"/>
    <mergeCell ref="C195:C202"/>
    <mergeCell ref="B203:B210"/>
    <mergeCell ref="C203:C210"/>
    <mergeCell ref="B211:B218"/>
    <mergeCell ref="C211:C218"/>
    <mergeCell ref="B171:B178"/>
    <mergeCell ref="C171:C178"/>
    <mergeCell ref="B179:B186"/>
    <mergeCell ref="C179:C186"/>
    <mergeCell ref="B187:B194"/>
    <mergeCell ref="C187:C194"/>
    <mergeCell ref="B147:B154"/>
    <mergeCell ref="C147:C154"/>
    <mergeCell ref="B155:B162"/>
    <mergeCell ref="C155:C162"/>
    <mergeCell ref="B163:B170"/>
    <mergeCell ref="C163:C170"/>
    <mergeCell ref="B123:B130"/>
    <mergeCell ref="C123:C130"/>
    <mergeCell ref="B131:B138"/>
    <mergeCell ref="C131:C138"/>
    <mergeCell ref="B139:B146"/>
    <mergeCell ref="C139:C146"/>
    <mergeCell ref="B99:B106"/>
    <mergeCell ref="C99:C106"/>
    <mergeCell ref="B107:B114"/>
    <mergeCell ref="C107:C114"/>
    <mergeCell ref="B115:B122"/>
    <mergeCell ref="C115:C122"/>
    <mergeCell ref="C75:C82"/>
    <mergeCell ref="B83:B90"/>
    <mergeCell ref="C83:C90"/>
    <mergeCell ref="B91:B98"/>
    <mergeCell ref="C91:C98"/>
    <mergeCell ref="B3:B10"/>
    <mergeCell ref="B11:B18"/>
    <mergeCell ref="B19:B26"/>
    <mergeCell ref="B27:B34"/>
    <mergeCell ref="C27:C34"/>
    <mergeCell ref="C3:C10"/>
    <mergeCell ref="C11:C18"/>
    <mergeCell ref="B307:B314"/>
    <mergeCell ref="C307:C314"/>
    <mergeCell ref="B315:B322"/>
    <mergeCell ref="C315:C322"/>
    <mergeCell ref="C19:C26"/>
    <mergeCell ref="B35:B42"/>
    <mergeCell ref="C35:C42"/>
    <mergeCell ref="B43:B50"/>
    <mergeCell ref="C43:C50"/>
    <mergeCell ref="B51:B58"/>
    <mergeCell ref="C51:C58"/>
    <mergeCell ref="B59:B66"/>
    <mergeCell ref="C59:C66"/>
    <mergeCell ref="B67:B74"/>
    <mergeCell ref="C67:C74"/>
    <mergeCell ref="B75:B82"/>
  </mergeCells>
  <phoneticPr fontId="1"/>
  <dataValidations count="11">
    <dataValidation type="whole" allowBlank="1" showInputMessage="1" showErrorMessage="1" sqref="F2">
      <formula1>1</formula1>
      <formula2>99</formula2>
    </dataValidation>
    <dataValidation type="list" allowBlank="1" showInputMessage="1" showErrorMessage="1" sqref="D3:D322">
      <formula1>ボスリスト</formula1>
    </dataValidation>
    <dataValidation type="list" allowBlank="1" showInputMessage="1" showErrorMessage="1" sqref="E3:E322">
      <formula1>キャラリスト</formula1>
    </dataValidation>
    <dataValidation type="list" allowBlank="1" showInputMessage="1" showErrorMessage="1" sqref="G3:G322">
      <formula1>武器リスト</formula1>
    </dataValidation>
    <dataValidation type="list" allowBlank="1" showInputMessage="1" showErrorMessage="1" sqref="H3:H322">
      <formula1>鎧リスト</formula1>
    </dataValidation>
    <dataValidation type="list" allowBlank="1" showInputMessage="1" showErrorMessage="1" sqref="I3:I322">
      <formula1>盾リスト</formula1>
    </dataValidation>
    <dataValidation type="list" allowBlank="1" showInputMessage="1" showErrorMessage="1" sqref="J3:J322">
      <formula1>兜リスト</formula1>
    </dataValidation>
    <dataValidation type="list" allowBlank="1" showInputMessage="1" showErrorMessage="1" sqref="K3:K322">
      <formula1>装飾品Aリスト</formula1>
    </dataValidation>
    <dataValidation type="list" allowBlank="1" showInputMessage="1" showErrorMessage="1" sqref="L3:L322">
      <formula1>装飾品Bリスト</formula1>
    </dataValidation>
    <dataValidation type="list" allowBlank="1" showInputMessage="1" showErrorMessage="1" sqref="M3:M322">
      <formula1>装飾品Cリスト</formula1>
    </dataValidation>
    <dataValidation type="list" allowBlank="1" showInputMessage="1" showErrorMessage="1" sqref="S3:S322">
      <formula1>職業リスト</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70"/>
  <sheetViews>
    <sheetView tabSelected="1" zoomScaleNormal="100" workbookViewId="0">
      <selection activeCell="B1" sqref="B1:AF1"/>
    </sheetView>
  </sheetViews>
  <sheetFormatPr defaultColWidth="2.625" defaultRowHeight="11.25" x14ac:dyDescent="0.15"/>
  <cols>
    <col min="1" max="16384" width="2.625" style="174"/>
  </cols>
  <sheetData>
    <row r="1" spans="1:33" ht="30" customHeight="1" x14ac:dyDescent="0.15">
      <c r="A1" s="309"/>
      <c r="B1" s="304" t="s">
        <v>944</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9"/>
    </row>
    <row r="2" spans="1:33" ht="11.25" customHeight="1" x14ac:dyDescent="0.15">
      <c r="A2" s="309"/>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09"/>
    </row>
    <row r="3" spans="1:33" x14ac:dyDescent="0.15">
      <c r="A3" s="309"/>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09"/>
    </row>
    <row r="4" spans="1:33" x14ac:dyDescent="0.15">
      <c r="A4" s="309"/>
      <c r="B4" s="311"/>
      <c r="C4" s="311" t="s">
        <v>945</v>
      </c>
      <c r="D4" s="311"/>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09"/>
    </row>
    <row r="5" spans="1:33" x14ac:dyDescent="0.15">
      <c r="A5" s="309"/>
      <c r="B5" s="310"/>
      <c r="C5" s="310"/>
      <c r="D5" s="310" t="s">
        <v>946</v>
      </c>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09"/>
    </row>
    <row r="6" spans="1:33" x14ac:dyDescent="0.15">
      <c r="A6" s="309"/>
      <c r="B6" s="310"/>
      <c r="C6" s="310"/>
      <c r="D6" s="310" t="s">
        <v>947</v>
      </c>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09"/>
    </row>
    <row r="7" spans="1:33" x14ac:dyDescent="0.15">
      <c r="A7" s="309"/>
      <c r="B7" s="310"/>
      <c r="C7" s="310"/>
      <c r="D7" s="310"/>
      <c r="E7" s="310" t="s">
        <v>948</v>
      </c>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09"/>
    </row>
    <row r="8" spans="1:33" x14ac:dyDescent="0.15">
      <c r="A8" s="309"/>
      <c r="B8" s="310"/>
      <c r="C8" s="310"/>
      <c r="D8" s="310"/>
      <c r="E8" s="310" t="s">
        <v>949</v>
      </c>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09"/>
    </row>
    <row r="9" spans="1:33" x14ac:dyDescent="0.15">
      <c r="A9" s="309"/>
      <c r="B9" s="310"/>
      <c r="C9" s="310"/>
      <c r="D9" s="310"/>
      <c r="E9" s="310" t="s">
        <v>950</v>
      </c>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09"/>
    </row>
    <row r="10" spans="1:33" x14ac:dyDescent="0.15">
      <c r="A10" s="309"/>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09"/>
    </row>
    <row r="11" spans="1:33" x14ac:dyDescent="0.15">
      <c r="A11" s="309"/>
      <c r="B11" s="310"/>
      <c r="C11" s="311" t="s">
        <v>951</v>
      </c>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09"/>
    </row>
    <row r="12" spans="1:33" x14ac:dyDescent="0.15">
      <c r="A12" s="309"/>
      <c r="B12" s="310"/>
      <c r="C12" s="310"/>
      <c r="D12" s="310" t="s">
        <v>952</v>
      </c>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09"/>
    </row>
    <row r="13" spans="1:33" x14ac:dyDescent="0.15">
      <c r="A13" s="309"/>
      <c r="B13" s="310"/>
      <c r="C13" s="310"/>
      <c r="D13" s="310"/>
      <c r="E13" s="311" t="s">
        <v>953</v>
      </c>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09"/>
    </row>
    <row r="14" spans="1:33" x14ac:dyDescent="0.15">
      <c r="A14" s="309"/>
      <c r="B14" s="310"/>
      <c r="C14" s="310"/>
      <c r="D14" s="310"/>
      <c r="E14" s="310"/>
      <c r="F14" s="310" t="s">
        <v>954</v>
      </c>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09"/>
    </row>
    <row r="15" spans="1:33" x14ac:dyDescent="0.15">
      <c r="A15" s="309"/>
      <c r="B15" s="310"/>
      <c r="C15" s="310"/>
      <c r="D15" s="310"/>
      <c r="E15" s="310"/>
      <c r="F15" s="310" t="s">
        <v>960</v>
      </c>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09"/>
    </row>
    <row r="16" spans="1:33" x14ac:dyDescent="0.15">
      <c r="A16" s="309"/>
      <c r="B16" s="310"/>
      <c r="C16" s="310"/>
      <c r="D16" s="310"/>
      <c r="E16" s="310"/>
      <c r="F16" s="312" t="s">
        <v>961</v>
      </c>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09"/>
    </row>
    <row r="17" spans="1:33" x14ac:dyDescent="0.15">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09"/>
    </row>
    <row r="18" spans="1:33" x14ac:dyDescent="0.15">
      <c r="A18" s="309"/>
      <c r="B18" s="310"/>
      <c r="C18" s="310"/>
      <c r="D18" s="310"/>
      <c r="E18" s="311" t="s">
        <v>962</v>
      </c>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09"/>
    </row>
    <row r="19" spans="1:33" x14ac:dyDescent="0.15">
      <c r="A19" s="309"/>
      <c r="B19" s="310"/>
      <c r="C19" s="310"/>
      <c r="D19" s="310"/>
      <c r="E19" s="310"/>
      <c r="F19" s="310" t="s">
        <v>963</v>
      </c>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09"/>
    </row>
    <row r="20" spans="1:33" x14ac:dyDescent="0.15">
      <c r="A20" s="309"/>
      <c r="B20" s="310"/>
      <c r="C20" s="310"/>
      <c r="D20" s="310"/>
      <c r="E20" s="310"/>
      <c r="F20" s="310" t="s">
        <v>964</v>
      </c>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09"/>
    </row>
    <row r="21" spans="1:33" x14ac:dyDescent="0.15">
      <c r="A21" s="309"/>
      <c r="B21" s="310"/>
      <c r="C21" s="310"/>
      <c r="D21" s="310"/>
      <c r="E21" s="310"/>
      <c r="F21" s="310" t="s">
        <v>965</v>
      </c>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09"/>
    </row>
    <row r="22" spans="1:33" x14ac:dyDescent="0.15">
      <c r="A22" s="309"/>
      <c r="B22" s="310"/>
      <c r="C22" s="310"/>
      <c r="D22" s="310"/>
      <c r="E22" s="310"/>
      <c r="F22" s="310" t="s">
        <v>966</v>
      </c>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09"/>
    </row>
    <row r="23" spans="1:33" x14ac:dyDescent="0.15">
      <c r="A23" s="309"/>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09"/>
    </row>
    <row r="24" spans="1:33" x14ac:dyDescent="0.15">
      <c r="A24" s="309"/>
      <c r="B24" s="310"/>
      <c r="C24" s="310"/>
      <c r="D24" s="310"/>
      <c r="E24" s="311" t="s">
        <v>967</v>
      </c>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09"/>
    </row>
    <row r="25" spans="1:33" x14ac:dyDescent="0.15">
      <c r="A25" s="309"/>
      <c r="B25" s="310"/>
      <c r="C25" s="310"/>
      <c r="D25" s="310"/>
      <c r="E25" s="310"/>
      <c r="F25" s="310" t="s">
        <v>968</v>
      </c>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09"/>
    </row>
    <row r="26" spans="1:33" x14ac:dyDescent="0.15">
      <c r="A26" s="309"/>
      <c r="B26" s="310"/>
      <c r="C26" s="310"/>
      <c r="D26" s="310"/>
      <c r="E26" s="310"/>
      <c r="F26" s="310" t="s">
        <v>969</v>
      </c>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09"/>
    </row>
    <row r="27" spans="1:33" x14ac:dyDescent="0.15">
      <c r="A27" s="309"/>
      <c r="B27" s="310"/>
      <c r="C27" s="310"/>
      <c r="D27" s="310"/>
      <c r="E27" s="310"/>
      <c r="F27" s="310" t="s">
        <v>970</v>
      </c>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09"/>
    </row>
    <row r="28" spans="1:33" x14ac:dyDescent="0.15">
      <c r="A28" s="309"/>
      <c r="B28" s="310"/>
      <c r="C28" s="310"/>
      <c r="D28" s="310"/>
      <c r="E28" s="310"/>
      <c r="F28" s="310" t="s">
        <v>971</v>
      </c>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09"/>
    </row>
    <row r="29" spans="1:33" x14ac:dyDescent="0.15">
      <c r="A29" s="309"/>
      <c r="B29" s="310"/>
      <c r="C29" s="310"/>
      <c r="D29" s="310"/>
      <c r="E29" s="310"/>
      <c r="F29" s="310" t="s">
        <v>972</v>
      </c>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09"/>
    </row>
    <row r="30" spans="1:33" x14ac:dyDescent="0.15">
      <c r="A30" s="309"/>
      <c r="B30" s="310"/>
      <c r="C30" s="310"/>
      <c r="D30" s="310"/>
      <c r="E30" s="310"/>
      <c r="F30" s="310" t="s">
        <v>973</v>
      </c>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09"/>
    </row>
    <row r="31" spans="1:33" x14ac:dyDescent="0.15">
      <c r="A31" s="309"/>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09"/>
    </row>
    <row r="32" spans="1:33" x14ac:dyDescent="0.15">
      <c r="A32" s="309"/>
      <c r="B32" s="310"/>
      <c r="C32" s="311" t="s">
        <v>974</v>
      </c>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09"/>
    </row>
    <row r="33" spans="1:33" x14ac:dyDescent="0.15">
      <c r="A33" s="309"/>
      <c r="B33" s="310"/>
      <c r="C33" s="310"/>
      <c r="D33" s="310" t="s">
        <v>975</v>
      </c>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09"/>
    </row>
    <row r="34" spans="1:33" x14ac:dyDescent="0.15">
      <c r="A34" s="309"/>
      <c r="B34" s="310"/>
      <c r="C34" s="310"/>
      <c r="D34" s="310" t="s">
        <v>976</v>
      </c>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09"/>
    </row>
    <row r="35" spans="1:33" x14ac:dyDescent="0.15">
      <c r="A35" s="309"/>
      <c r="B35" s="310"/>
      <c r="C35" s="310"/>
      <c r="D35" s="310" t="s">
        <v>977</v>
      </c>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09"/>
    </row>
    <row r="36" spans="1:33" x14ac:dyDescent="0.15">
      <c r="A36" s="309"/>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09"/>
    </row>
    <row r="37" spans="1:33" x14ac:dyDescent="0.15">
      <c r="A37" s="309"/>
      <c r="B37" s="310"/>
      <c r="C37" s="310"/>
      <c r="D37" s="310" t="s">
        <v>979</v>
      </c>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09"/>
    </row>
    <row r="38" spans="1:33" x14ac:dyDescent="0.15">
      <c r="A38" s="309"/>
      <c r="B38" s="310"/>
      <c r="C38" s="310"/>
      <c r="D38" s="310" t="s">
        <v>978</v>
      </c>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09"/>
    </row>
    <row r="39" spans="1:33" x14ac:dyDescent="0.15">
      <c r="A39" s="309"/>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09"/>
    </row>
    <row r="40" spans="1:33" x14ac:dyDescent="0.15">
      <c r="A40" s="309"/>
      <c r="B40" s="310"/>
      <c r="C40" s="311" t="s">
        <v>982</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09"/>
    </row>
    <row r="41" spans="1:33" x14ac:dyDescent="0.15">
      <c r="A41" s="309"/>
      <c r="B41" s="310"/>
      <c r="C41" s="310"/>
      <c r="D41" s="310" t="s">
        <v>981</v>
      </c>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09"/>
    </row>
    <row r="42" spans="1:33" x14ac:dyDescent="0.15">
      <c r="A42" s="309"/>
      <c r="B42" s="310"/>
      <c r="C42" s="310"/>
      <c r="D42" s="310"/>
      <c r="E42" s="310" t="s">
        <v>983</v>
      </c>
      <c r="F42" s="310"/>
      <c r="G42" s="310"/>
      <c r="H42" s="310"/>
      <c r="I42" s="310"/>
      <c r="J42" s="310"/>
      <c r="K42" s="310"/>
      <c r="L42" s="310"/>
      <c r="M42" s="313" t="s">
        <v>984</v>
      </c>
      <c r="N42" s="310"/>
      <c r="O42" s="314" t="s">
        <v>985</v>
      </c>
      <c r="P42" s="310"/>
      <c r="Q42" s="310"/>
      <c r="R42" s="310"/>
      <c r="S42" s="310"/>
      <c r="T42" s="310"/>
      <c r="U42" s="310"/>
      <c r="V42" s="310"/>
      <c r="W42" s="310"/>
      <c r="X42" s="310"/>
      <c r="Y42" s="310"/>
      <c r="Z42" s="310"/>
      <c r="AA42" s="310"/>
      <c r="AB42" s="310"/>
      <c r="AC42" s="310"/>
      <c r="AD42" s="310"/>
      <c r="AE42" s="310"/>
      <c r="AF42" s="310"/>
      <c r="AG42" s="309"/>
    </row>
    <row r="43" spans="1:33" x14ac:dyDescent="0.15">
      <c r="A43" s="309"/>
      <c r="B43" s="310"/>
      <c r="C43" s="310"/>
      <c r="D43" s="310"/>
      <c r="E43" s="310" t="s">
        <v>986</v>
      </c>
      <c r="F43" s="310"/>
      <c r="G43" s="310"/>
      <c r="H43" s="310"/>
      <c r="I43" s="310"/>
      <c r="J43" s="310"/>
      <c r="K43" s="310"/>
      <c r="L43" s="310"/>
      <c r="M43" s="313" t="s">
        <v>987</v>
      </c>
      <c r="N43" s="310"/>
      <c r="O43" s="314" t="s">
        <v>988</v>
      </c>
      <c r="P43" s="310"/>
      <c r="Q43" s="310"/>
      <c r="R43" s="310"/>
      <c r="S43" s="310"/>
      <c r="T43" s="310"/>
      <c r="U43" s="310"/>
      <c r="V43" s="310"/>
      <c r="W43" s="310"/>
      <c r="X43" s="310"/>
      <c r="Y43" s="310"/>
      <c r="Z43" s="310"/>
      <c r="AA43" s="310"/>
      <c r="AB43" s="310"/>
      <c r="AC43" s="310"/>
      <c r="AD43" s="310"/>
      <c r="AE43" s="310"/>
      <c r="AF43" s="310"/>
      <c r="AG43" s="309"/>
    </row>
    <row r="44" spans="1:33" x14ac:dyDescent="0.15">
      <c r="A44" s="309"/>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09"/>
    </row>
    <row r="45" spans="1:33" x14ac:dyDescent="0.15">
      <c r="A45" s="309"/>
      <c r="B45" s="310"/>
      <c r="C45" s="310"/>
      <c r="D45" s="310" t="s">
        <v>989</v>
      </c>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09"/>
    </row>
    <row r="46" spans="1:33" x14ac:dyDescent="0.15">
      <c r="A46" s="309"/>
      <c r="B46" s="310"/>
      <c r="C46" s="310"/>
      <c r="D46" s="310" t="s">
        <v>990</v>
      </c>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09"/>
    </row>
    <row r="47" spans="1:33" x14ac:dyDescent="0.15">
      <c r="A47" s="309"/>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09"/>
    </row>
    <row r="48" spans="1:33" x14ac:dyDescent="0.15">
      <c r="A48" s="309"/>
      <c r="B48" s="310"/>
      <c r="C48" s="311" t="s">
        <v>980</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09"/>
    </row>
    <row r="49" spans="1:33" x14ac:dyDescent="0.15">
      <c r="A49" s="309"/>
      <c r="B49" s="310"/>
      <c r="C49" s="310"/>
      <c r="D49" s="310" t="s">
        <v>993</v>
      </c>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09"/>
    </row>
    <row r="50" spans="1:33" x14ac:dyDescent="0.15">
      <c r="A50" s="309"/>
      <c r="B50" s="310"/>
      <c r="C50" s="310"/>
      <c r="D50" s="310"/>
      <c r="E50" s="310" t="s">
        <v>991</v>
      </c>
      <c r="F50" s="310"/>
      <c r="G50" s="310"/>
      <c r="H50" s="310"/>
      <c r="I50" s="310"/>
      <c r="J50" s="313" t="s">
        <v>984</v>
      </c>
      <c r="K50" s="310"/>
      <c r="L50" s="314" t="s">
        <v>992</v>
      </c>
      <c r="M50" s="310"/>
      <c r="N50" s="310"/>
      <c r="O50" s="310"/>
      <c r="P50" s="310"/>
      <c r="Q50" s="310"/>
      <c r="R50" s="310"/>
      <c r="S50" s="310"/>
      <c r="T50" s="310"/>
      <c r="U50" s="310"/>
      <c r="V50" s="310"/>
      <c r="W50" s="310"/>
      <c r="X50" s="310"/>
      <c r="Y50" s="310"/>
      <c r="Z50" s="310"/>
      <c r="AA50" s="310"/>
      <c r="AB50" s="310"/>
      <c r="AC50" s="310"/>
      <c r="AD50" s="310"/>
      <c r="AE50" s="310"/>
      <c r="AF50" s="310"/>
      <c r="AG50" s="309"/>
    </row>
    <row r="51" spans="1:33" x14ac:dyDescent="0.15">
      <c r="A51" s="309"/>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09"/>
    </row>
    <row r="52" spans="1:33" x14ac:dyDescent="0.15">
      <c r="A52" s="309"/>
      <c r="B52" s="310"/>
      <c r="C52" s="310"/>
      <c r="D52" s="310" t="s">
        <v>994</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09"/>
    </row>
    <row r="53" spans="1:33" x14ac:dyDescent="0.15">
      <c r="A53" s="309"/>
      <c r="B53" s="310"/>
      <c r="C53" s="310"/>
      <c r="D53" s="310" t="s">
        <v>995</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09"/>
    </row>
    <row r="54" spans="1:33" x14ac:dyDescent="0.15">
      <c r="A54" s="309"/>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09"/>
    </row>
    <row r="55" spans="1:33" x14ac:dyDescent="0.15">
      <c r="A55" s="309"/>
      <c r="B55" s="310"/>
      <c r="C55" s="311" t="s">
        <v>996</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09"/>
    </row>
    <row r="56" spans="1:33" x14ac:dyDescent="0.15">
      <c r="A56" s="309"/>
      <c r="B56" s="310"/>
      <c r="C56" s="310"/>
      <c r="D56" s="310" t="s">
        <v>999</v>
      </c>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09"/>
    </row>
    <row r="57" spans="1:33" x14ac:dyDescent="0.15">
      <c r="A57" s="309"/>
      <c r="B57" s="310"/>
      <c r="C57" s="310"/>
      <c r="D57" s="310" t="s">
        <v>1000</v>
      </c>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09"/>
    </row>
    <row r="58" spans="1:33" x14ac:dyDescent="0.15">
      <c r="A58" s="309"/>
      <c r="B58" s="310"/>
      <c r="C58" s="310"/>
      <c r="D58" s="310" t="s">
        <v>1001</v>
      </c>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09"/>
    </row>
    <row r="59" spans="1:33" x14ac:dyDescent="0.15">
      <c r="A59" s="309"/>
      <c r="B59" s="310"/>
      <c r="C59" s="310"/>
      <c r="D59" s="310"/>
      <c r="E59" s="310" t="s">
        <v>997</v>
      </c>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09"/>
    </row>
    <row r="60" spans="1:33" x14ac:dyDescent="0.15">
      <c r="A60" s="309"/>
      <c r="B60" s="310"/>
      <c r="C60" s="310"/>
      <c r="D60" s="310"/>
      <c r="E60" s="310" t="s">
        <v>998</v>
      </c>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09"/>
    </row>
    <row r="61" spans="1:33" x14ac:dyDescent="0.15">
      <c r="A61" s="309"/>
      <c r="B61" s="310"/>
      <c r="C61" s="310"/>
      <c r="D61" s="310"/>
      <c r="E61" s="310" t="s">
        <v>1002</v>
      </c>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09"/>
    </row>
    <row r="62" spans="1:33" x14ac:dyDescent="0.15">
      <c r="A62" s="309"/>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09"/>
    </row>
    <row r="63" spans="1:33" x14ac:dyDescent="0.15">
      <c r="A63" s="309"/>
      <c r="B63" s="310"/>
      <c r="C63" s="310"/>
      <c r="D63" s="310" t="s">
        <v>1003</v>
      </c>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09"/>
    </row>
    <row r="64" spans="1:33" x14ac:dyDescent="0.15">
      <c r="A64" s="309"/>
      <c r="B64" s="310"/>
      <c r="C64" s="310"/>
      <c r="D64" s="310" t="s">
        <v>1004</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09"/>
    </row>
    <row r="65" spans="1:33" x14ac:dyDescent="0.15">
      <c r="A65" s="309"/>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09"/>
    </row>
    <row r="66" spans="1:33" x14ac:dyDescent="0.15">
      <c r="A66" s="309"/>
      <c r="B66" s="310"/>
      <c r="C66" s="310"/>
      <c r="D66" s="310" t="s">
        <v>1005</v>
      </c>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09"/>
    </row>
    <row r="67" spans="1:33" x14ac:dyDescent="0.15">
      <c r="A67" s="309"/>
      <c r="B67" s="310"/>
      <c r="C67" s="310"/>
      <c r="D67" s="310"/>
      <c r="E67" s="315" t="s">
        <v>1006</v>
      </c>
      <c r="F67" s="310"/>
      <c r="G67" s="310"/>
      <c r="H67" s="310"/>
      <c r="I67" s="310"/>
      <c r="J67" s="313" t="s">
        <v>984</v>
      </c>
      <c r="K67" s="310"/>
      <c r="L67" s="314" t="s">
        <v>1007</v>
      </c>
      <c r="M67" s="310"/>
      <c r="N67" s="310"/>
      <c r="O67" s="310"/>
      <c r="P67" s="310"/>
      <c r="Q67" s="310"/>
      <c r="R67" s="310"/>
      <c r="S67" s="310"/>
      <c r="T67" s="310"/>
      <c r="U67" s="310"/>
      <c r="V67" s="310"/>
      <c r="W67" s="310"/>
      <c r="X67" s="310"/>
      <c r="Y67" s="310"/>
      <c r="Z67" s="310"/>
      <c r="AA67" s="310"/>
      <c r="AB67" s="310"/>
      <c r="AC67" s="310"/>
      <c r="AD67" s="310"/>
      <c r="AE67" s="310"/>
      <c r="AF67" s="310"/>
      <c r="AG67" s="309"/>
    </row>
    <row r="68" spans="1:33" x14ac:dyDescent="0.15">
      <c r="A68" s="309"/>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09"/>
    </row>
    <row r="69" spans="1:33" x14ac:dyDescent="0.15">
      <c r="A69" s="309"/>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09"/>
    </row>
    <row r="70" spans="1:33" x14ac:dyDescent="0.15">
      <c r="A70" s="309"/>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row>
  </sheetData>
  <mergeCells count="1">
    <mergeCell ref="B1:AF1"/>
  </mergeCells>
  <phoneticPr fontId="1"/>
  <hyperlinks>
    <hyperlink ref="O42" r:id="rId1"/>
    <hyperlink ref="O43" r:id="rId2"/>
    <hyperlink ref="L50" r:id="rId3"/>
    <hyperlink ref="L67"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61"/>
  <sheetViews>
    <sheetView workbookViewId="0">
      <pane xSplit="3" ySplit="3" topLeftCell="D4" activePane="bottomRight" state="frozen"/>
      <selection pane="topRight" activeCell="D1" sqref="D1"/>
      <selection pane="bottomLeft" activeCell="A4" sqref="A4"/>
      <selection pane="bottomRight" activeCell="B1" sqref="B1:C1"/>
    </sheetView>
  </sheetViews>
  <sheetFormatPr defaultRowHeight="11.25" x14ac:dyDescent="0.15"/>
  <cols>
    <col min="1" max="1" width="3.625" style="135" customWidth="1"/>
    <col min="2" max="2" width="12.625" style="135" customWidth="1"/>
    <col min="3" max="3" width="5.625" style="135" customWidth="1"/>
    <col min="4" max="4" width="2.625" style="135" customWidth="1"/>
    <col min="5" max="5" width="5.125" style="135" customWidth="1"/>
    <col min="6" max="7" width="4.375" style="135" customWidth="1"/>
    <col min="8" max="9" width="2.625" style="135" customWidth="1"/>
    <col min="10" max="10" width="5.125" style="135" customWidth="1"/>
    <col min="11" max="12" width="4.375" style="135" customWidth="1"/>
    <col min="13" max="14" width="2.625" style="135" customWidth="1"/>
    <col min="15" max="15" width="5.125" style="135" customWidth="1"/>
    <col min="16" max="17" width="4.375" style="135" customWidth="1"/>
    <col min="18" max="19" width="2.625" style="135" customWidth="1"/>
    <col min="20" max="20" width="5.125" style="135" customWidth="1"/>
    <col min="21" max="22" width="4.375" style="135" customWidth="1"/>
    <col min="23" max="24" width="2.625" style="135" customWidth="1"/>
    <col min="25" max="25" width="5.125" style="135" customWidth="1"/>
    <col min="26" max="27" width="4.375" style="135" customWidth="1"/>
    <col min="28" max="29" width="2.625" style="135" customWidth="1"/>
    <col min="30" max="30" width="5.125" style="135" customWidth="1"/>
    <col min="31" max="32" width="4.375" style="135" customWidth="1"/>
    <col min="33" max="34" width="2.625" style="135" customWidth="1"/>
    <col min="35" max="35" width="5.125" style="135" customWidth="1"/>
    <col min="36" max="37" width="4.375" style="135" customWidth="1"/>
    <col min="38" max="39" width="2.625" style="135" customWidth="1"/>
    <col min="40" max="40" width="5.125" style="135" customWidth="1"/>
    <col min="41" max="42" width="4.375" style="135" customWidth="1"/>
    <col min="43" max="43" width="2.625" style="135" customWidth="1"/>
    <col min="44" max="44" width="9.75" style="135" customWidth="1"/>
    <col min="45" max="16384" width="9" style="135"/>
  </cols>
  <sheetData>
    <row r="1" spans="1:44" ht="30" customHeight="1" x14ac:dyDescent="0.15">
      <c r="A1" s="159"/>
      <c r="B1" s="256" t="s">
        <v>775</v>
      </c>
      <c r="C1" s="256"/>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row>
    <row r="2" spans="1:44" ht="13.5" customHeight="1" x14ac:dyDescent="0.15">
      <c r="A2" s="134"/>
      <c r="B2" s="254" t="s">
        <v>732</v>
      </c>
      <c r="C2" s="254" t="s">
        <v>731</v>
      </c>
      <c r="D2" s="253" t="s">
        <v>182</v>
      </c>
      <c r="E2" s="253"/>
      <c r="F2" s="253"/>
      <c r="G2" s="253"/>
      <c r="H2" s="253"/>
      <c r="I2" s="253" t="s">
        <v>185</v>
      </c>
      <c r="J2" s="253"/>
      <c r="K2" s="253"/>
      <c r="L2" s="253"/>
      <c r="M2" s="253"/>
      <c r="N2" s="253" t="s">
        <v>187</v>
      </c>
      <c r="O2" s="253"/>
      <c r="P2" s="253"/>
      <c r="Q2" s="253"/>
      <c r="R2" s="253"/>
      <c r="S2" s="253" t="s">
        <v>189</v>
      </c>
      <c r="T2" s="253"/>
      <c r="U2" s="253"/>
      <c r="V2" s="253"/>
      <c r="W2" s="253"/>
      <c r="X2" s="253" t="s">
        <v>191</v>
      </c>
      <c r="Y2" s="253"/>
      <c r="Z2" s="253"/>
      <c r="AA2" s="253"/>
      <c r="AB2" s="253"/>
      <c r="AC2" s="253" t="s">
        <v>195</v>
      </c>
      <c r="AD2" s="253"/>
      <c r="AE2" s="253"/>
      <c r="AF2" s="253"/>
      <c r="AG2" s="253"/>
      <c r="AH2" s="253" t="s">
        <v>193</v>
      </c>
      <c r="AI2" s="253"/>
      <c r="AJ2" s="253"/>
      <c r="AK2" s="253"/>
      <c r="AL2" s="253"/>
      <c r="AM2" s="253" t="s">
        <v>197</v>
      </c>
      <c r="AN2" s="253"/>
      <c r="AO2" s="253"/>
      <c r="AP2" s="253"/>
      <c r="AQ2" s="253"/>
      <c r="AR2" s="134"/>
    </row>
    <row r="3" spans="1:44" x14ac:dyDescent="0.15">
      <c r="A3" s="134"/>
      <c r="B3" s="255"/>
      <c r="C3" s="255"/>
      <c r="D3" s="133" t="s">
        <v>252</v>
      </c>
      <c r="E3" s="22" t="s">
        <v>772</v>
      </c>
      <c r="F3" s="22" t="s">
        <v>773</v>
      </c>
      <c r="G3" s="22" t="s">
        <v>774</v>
      </c>
      <c r="H3" s="146" t="s">
        <v>738</v>
      </c>
      <c r="I3" s="133" t="s">
        <v>252</v>
      </c>
      <c r="J3" s="22" t="s">
        <v>772</v>
      </c>
      <c r="K3" s="22" t="s">
        <v>773</v>
      </c>
      <c r="L3" s="22" t="s">
        <v>774</v>
      </c>
      <c r="M3" s="146" t="s">
        <v>738</v>
      </c>
      <c r="N3" s="133" t="s">
        <v>252</v>
      </c>
      <c r="O3" s="22" t="s">
        <v>772</v>
      </c>
      <c r="P3" s="22" t="s">
        <v>773</v>
      </c>
      <c r="Q3" s="22" t="s">
        <v>774</v>
      </c>
      <c r="R3" s="146" t="s">
        <v>738</v>
      </c>
      <c r="S3" s="133" t="s">
        <v>252</v>
      </c>
      <c r="T3" s="22" t="s">
        <v>772</v>
      </c>
      <c r="U3" s="22" t="s">
        <v>773</v>
      </c>
      <c r="V3" s="22" t="s">
        <v>774</v>
      </c>
      <c r="W3" s="146" t="s">
        <v>738</v>
      </c>
      <c r="X3" s="133" t="s">
        <v>252</v>
      </c>
      <c r="Y3" s="22" t="s">
        <v>772</v>
      </c>
      <c r="Z3" s="22" t="s">
        <v>773</v>
      </c>
      <c r="AA3" s="22" t="s">
        <v>774</v>
      </c>
      <c r="AB3" s="146" t="s">
        <v>738</v>
      </c>
      <c r="AC3" s="133" t="s">
        <v>252</v>
      </c>
      <c r="AD3" s="22" t="s">
        <v>772</v>
      </c>
      <c r="AE3" s="22" t="s">
        <v>773</v>
      </c>
      <c r="AF3" s="22" t="s">
        <v>774</v>
      </c>
      <c r="AG3" s="146" t="s">
        <v>738</v>
      </c>
      <c r="AH3" s="133" t="s">
        <v>252</v>
      </c>
      <c r="AI3" s="22" t="s">
        <v>772</v>
      </c>
      <c r="AJ3" s="22" t="s">
        <v>773</v>
      </c>
      <c r="AK3" s="22" t="s">
        <v>774</v>
      </c>
      <c r="AL3" s="146" t="s">
        <v>738</v>
      </c>
      <c r="AM3" s="133" t="s">
        <v>252</v>
      </c>
      <c r="AN3" s="22" t="s">
        <v>772</v>
      </c>
      <c r="AO3" s="22" t="s">
        <v>773</v>
      </c>
      <c r="AP3" s="22" t="s">
        <v>774</v>
      </c>
      <c r="AQ3" s="146" t="s">
        <v>738</v>
      </c>
      <c r="AR3" s="134"/>
    </row>
    <row r="4" spans="1:44" x14ac:dyDescent="0.15">
      <c r="A4" s="134"/>
      <c r="B4" s="152" t="s">
        <v>733</v>
      </c>
      <c r="C4" s="153" t="s">
        <v>734</v>
      </c>
      <c r="D4" s="142">
        <f t="shared" ref="D4:D35" si="0">COUNTIF(主人公Exp,"&lt;="&amp;E4)</f>
        <v>1</v>
      </c>
      <c r="E4" s="29">
        <v>0</v>
      </c>
      <c r="F4" s="29">
        <v>0</v>
      </c>
      <c r="G4" s="29">
        <v>0</v>
      </c>
      <c r="H4" s="147" t="s">
        <v>736</v>
      </c>
      <c r="I4" s="148">
        <f t="shared" ref="I4:I35" si="1">COUNTIF(ハッサンExp,"&lt;="&amp;J4)</f>
        <v>3</v>
      </c>
      <c r="J4" s="29">
        <v>10</v>
      </c>
      <c r="K4" s="29">
        <v>0</v>
      </c>
      <c r="L4" s="29">
        <v>0</v>
      </c>
      <c r="M4" s="147" t="s">
        <v>736</v>
      </c>
      <c r="N4" s="148">
        <f t="shared" ref="N4:N35" si="2">COUNTIF(ミレーユExp,"&lt;="&amp;O4)</f>
        <v>5</v>
      </c>
      <c r="O4" s="29">
        <v>354</v>
      </c>
      <c r="P4" s="29">
        <v>0</v>
      </c>
      <c r="Q4" s="29">
        <v>0</v>
      </c>
      <c r="R4" s="147" t="s">
        <v>736</v>
      </c>
      <c r="S4" s="148">
        <f t="shared" ref="S4:S35" si="3">COUNTIF(バーバラExp,"&lt;="&amp;T4)</f>
        <v>2</v>
      </c>
      <c r="T4" s="29">
        <v>129</v>
      </c>
      <c r="U4" s="29">
        <v>0</v>
      </c>
      <c r="V4" s="29">
        <v>0</v>
      </c>
      <c r="W4" s="147" t="s">
        <v>736</v>
      </c>
      <c r="X4" s="148">
        <f t="shared" ref="X4:X35" si="4">COUNTIF(チャモロExp,"&lt;="&amp;Y4)</f>
        <v>10</v>
      </c>
      <c r="Y4" s="29">
        <v>3563</v>
      </c>
      <c r="Z4" s="29">
        <v>0</v>
      </c>
      <c r="AA4" s="29">
        <v>0</v>
      </c>
      <c r="AB4" s="147" t="s">
        <v>736</v>
      </c>
      <c r="AC4" s="148">
        <f t="shared" ref="AC4:AC35" si="5">COUNTIF(アモスExp,"&lt;="&amp;AD4)</f>
        <v>15</v>
      </c>
      <c r="AD4" s="29">
        <v>24300</v>
      </c>
      <c r="AE4" s="29">
        <v>0</v>
      </c>
      <c r="AF4" s="29">
        <v>0</v>
      </c>
      <c r="AG4" s="147" t="s">
        <v>736</v>
      </c>
      <c r="AH4" s="148">
        <f t="shared" ref="AH4:AH35" si="6">COUNTIF(テリーExp,"&lt;="&amp;AI4)</f>
        <v>23</v>
      </c>
      <c r="AI4" s="29">
        <v>120752</v>
      </c>
      <c r="AJ4" s="29">
        <v>0</v>
      </c>
      <c r="AK4" s="29">
        <v>0</v>
      </c>
      <c r="AL4" s="147" t="s">
        <v>736</v>
      </c>
      <c r="AM4" s="148">
        <f t="shared" ref="AM4:AM35" si="7">COUNTIF(ドランゴExp,"&lt;="&amp;AN4)</f>
        <v>5</v>
      </c>
      <c r="AN4" s="29">
        <v>39932</v>
      </c>
      <c r="AO4" s="29">
        <v>0</v>
      </c>
      <c r="AP4" s="29">
        <v>0</v>
      </c>
      <c r="AQ4" s="155" t="s">
        <v>736</v>
      </c>
      <c r="AR4" s="156"/>
    </row>
    <row r="5" spans="1:44" x14ac:dyDescent="0.15">
      <c r="A5" s="134"/>
      <c r="B5" s="144" t="s">
        <v>739</v>
      </c>
      <c r="C5" s="154">
        <v>50</v>
      </c>
      <c r="D5" s="142">
        <f t="shared" si="0"/>
        <v>3</v>
      </c>
      <c r="E5" s="32">
        <f t="shared" ref="E5:E36" si="8">E4+IF(H5="○",$C5,0)</f>
        <v>50</v>
      </c>
      <c r="F5" s="32">
        <f ca="1">E5-INDIRECT("主人公!J"&amp;(D5+3))</f>
        <v>0</v>
      </c>
      <c r="G5" s="32">
        <f ca="1">INDIRECT("主人公!J"&amp;(D5+4))-E5</f>
        <v>72</v>
      </c>
      <c r="H5" s="147" t="s">
        <v>736</v>
      </c>
      <c r="I5" s="148">
        <f t="shared" si="1"/>
        <v>3</v>
      </c>
      <c r="J5" s="32">
        <f t="shared" ref="J5:J36" si="9">J4+IF(M5="○",$C5,0)</f>
        <v>10</v>
      </c>
      <c r="K5" s="32">
        <f t="shared" ref="K5:K36" ca="1" si="10">J5-INDIRECT("ハッサン!J"&amp;(I5+3))</f>
        <v>0</v>
      </c>
      <c r="L5" s="32">
        <f t="shared" ref="L5:L36" ca="1" si="11">INDIRECT("ハッサン!J"&amp;(I5+4))-J5</f>
        <v>35</v>
      </c>
      <c r="M5" s="147"/>
      <c r="N5" s="148">
        <f t="shared" si="2"/>
        <v>5</v>
      </c>
      <c r="O5" s="32">
        <f t="shared" ref="O5:O36" si="12">O4+IF(R5="○",$C5,0)</f>
        <v>354</v>
      </c>
      <c r="P5" s="32">
        <f t="shared" ref="P5:P36" ca="1" si="13">O5-INDIRECT("ミレーユ!J"&amp;(N5+3))</f>
        <v>0</v>
      </c>
      <c r="Q5" s="32">
        <f t="shared" ref="Q5:Q36" ca="1" si="14">INDIRECT("ミレーユ!J"&amp;(N5+4))-O5</f>
        <v>215</v>
      </c>
      <c r="R5" s="147"/>
      <c r="S5" s="148">
        <f t="shared" si="3"/>
        <v>2</v>
      </c>
      <c r="T5" s="32">
        <f t="shared" ref="T5:T36" si="15">T4+IF(W5="○",$C5,0)</f>
        <v>129</v>
      </c>
      <c r="U5" s="32">
        <f t="shared" ref="U5:U36" ca="1" si="16">T5-INDIRECT("バーバラ!J"&amp;(S5+3))</f>
        <v>0</v>
      </c>
      <c r="V5" s="32">
        <f t="shared" ref="V5:V36" ca="1" si="17">INDIRECT("バーバラ!J"&amp;(S5+4))-T5</f>
        <v>47</v>
      </c>
      <c r="W5" s="147"/>
      <c r="X5" s="148">
        <f t="shared" si="4"/>
        <v>10</v>
      </c>
      <c r="Y5" s="32">
        <f t="shared" ref="Y5:Y36" si="18">Y4+IF(AB5="○",$C5,0)</f>
        <v>3563</v>
      </c>
      <c r="Z5" s="32">
        <f t="shared" ref="Z5:Z36" ca="1" si="19">Y5-INDIRECT("チャモロ!J"&amp;(X5+3))</f>
        <v>0</v>
      </c>
      <c r="AA5" s="32">
        <f t="shared" ref="AA5:AA36" ca="1" si="20">INDIRECT("チャモロ!J"&amp;(X5+4))-Y5</f>
        <v>2299</v>
      </c>
      <c r="AB5" s="147"/>
      <c r="AC5" s="148">
        <f t="shared" si="5"/>
        <v>15</v>
      </c>
      <c r="AD5" s="32">
        <f t="shared" ref="AD5:AD36" si="21">AD4+IF(AG5="○",$C5,0)</f>
        <v>24300</v>
      </c>
      <c r="AE5" s="32">
        <f t="shared" ref="AE5:AE36" ca="1" si="22">AD5-INDIRECT("アモス!J"&amp;(AC5+3))</f>
        <v>0</v>
      </c>
      <c r="AF5" s="32">
        <f t="shared" ref="AF5:AF36" ca="1" si="23">INDIRECT("アモス!J"&amp;(AC5+4))-AD5</f>
        <v>7569</v>
      </c>
      <c r="AG5" s="147"/>
      <c r="AH5" s="148">
        <f t="shared" si="6"/>
        <v>23</v>
      </c>
      <c r="AI5" s="32">
        <f t="shared" ref="AI5:AI36" si="24">AI4+IF(AL5="○",$C5,0)</f>
        <v>120752</v>
      </c>
      <c r="AJ5" s="32">
        <f t="shared" ref="AJ5:AJ36" ca="1" si="25">AI5-INDIRECT("テリー!J"&amp;(AH5+3))</f>
        <v>0</v>
      </c>
      <c r="AK5" s="32">
        <f t="shared" ref="AK5:AK36" ca="1" si="26">INDIRECT("テリー!J"&amp;(AH5+4))-AI5</f>
        <v>15448</v>
      </c>
      <c r="AL5" s="147"/>
      <c r="AM5" s="148">
        <f t="shared" si="7"/>
        <v>5</v>
      </c>
      <c r="AN5" s="32">
        <f t="shared" ref="AN5:AN36" si="27">AN4+IF(AQ5="○",$C5,0)</f>
        <v>39932</v>
      </c>
      <c r="AO5" s="32">
        <f t="shared" ref="AO5:AO36" ca="1" si="28">AN5-INDIRECT("ドランゴ!J"&amp;(AM5+3))</f>
        <v>0</v>
      </c>
      <c r="AP5" s="32">
        <f t="shared" ref="AP5:AP36" ca="1" si="29">INDIRECT("ドランゴ!J"&amp;(AM5+4))-AN5</f>
        <v>16575</v>
      </c>
      <c r="AQ5" s="155"/>
      <c r="AR5" s="156"/>
    </row>
    <row r="6" spans="1:44" x14ac:dyDescent="0.15">
      <c r="A6" s="134"/>
      <c r="B6" s="144" t="s">
        <v>740</v>
      </c>
      <c r="C6" s="154">
        <f>IFERROR(VLOOKUP($B6,ボス,8,0),"")</f>
        <v>95</v>
      </c>
      <c r="D6" s="142">
        <f t="shared" si="0"/>
        <v>4</v>
      </c>
      <c r="E6" s="32">
        <f t="shared" si="8"/>
        <v>145</v>
      </c>
      <c r="F6" s="32">
        <f t="shared" ref="F6:F60" ca="1" si="30">E6-INDIRECT("主人公!J"&amp;(D6+3))</f>
        <v>23</v>
      </c>
      <c r="G6" s="32">
        <f t="shared" ref="G6:G60" ca="1" si="31">INDIRECT("主人公!J"&amp;(D6+4))-E6</f>
        <v>130</v>
      </c>
      <c r="H6" s="147" t="s">
        <v>736</v>
      </c>
      <c r="I6" s="148">
        <f t="shared" si="1"/>
        <v>3</v>
      </c>
      <c r="J6" s="32">
        <f t="shared" si="9"/>
        <v>10</v>
      </c>
      <c r="K6" s="32">
        <f t="shared" ca="1" si="10"/>
        <v>0</v>
      </c>
      <c r="L6" s="32">
        <f t="shared" ca="1" si="11"/>
        <v>35</v>
      </c>
      <c r="M6" s="147"/>
      <c r="N6" s="148">
        <f t="shared" si="2"/>
        <v>5</v>
      </c>
      <c r="O6" s="32">
        <f t="shared" si="12"/>
        <v>354</v>
      </c>
      <c r="P6" s="32">
        <f t="shared" ca="1" si="13"/>
        <v>0</v>
      </c>
      <c r="Q6" s="32">
        <f t="shared" ca="1" si="14"/>
        <v>215</v>
      </c>
      <c r="R6" s="147"/>
      <c r="S6" s="148">
        <f t="shared" si="3"/>
        <v>2</v>
      </c>
      <c r="T6" s="32">
        <f t="shared" si="15"/>
        <v>129</v>
      </c>
      <c r="U6" s="32">
        <f t="shared" ca="1" si="16"/>
        <v>0</v>
      </c>
      <c r="V6" s="32">
        <f t="shared" ca="1" si="17"/>
        <v>47</v>
      </c>
      <c r="W6" s="147"/>
      <c r="X6" s="148">
        <f t="shared" si="4"/>
        <v>10</v>
      </c>
      <c r="Y6" s="32">
        <f t="shared" si="18"/>
        <v>3563</v>
      </c>
      <c r="Z6" s="32">
        <f t="shared" ca="1" si="19"/>
        <v>0</v>
      </c>
      <c r="AA6" s="32">
        <f t="shared" ca="1" si="20"/>
        <v>2299</v>
      </c>
      <c r="AB6" s="147"/>
      <c r="AC6" s="148">
        <f t="shared" si="5"/>
        <v>15</v>
      </c>
      <c r="AD6" s="32">
        <f t="shared" si="21"/>
        <v>24300</v>
      </c>
      <c r="AE6" s="32">
        <f t="shared" ca="1" si="22"/>
        <v>0</v>
      </c>
      <c r="AF6" s="32">
        <f t="shared" ca="1" si="23"/>
        <v>7569</v>
      </c>
      <c r="AG6" s="147"/>
      <c r="AH6" s="148">
        <f t="shared" si="6"/>
        <v>23</v>
      </c>
      <c r="AI6" s="32">
        <f t="shared" si="24"/>
        <v>120752</v>
      </c>
      <c r="AJ6" s="32">
        <f t="shared" ca="1" si="25"/>
        <v>0</v>
      </c>
      <c r="AK6" s="32">
        <f t="shared" ca="1" si="26"/>
        <v>15448</v>
      </c>
      <c r="AL6" s="147"/>
      <c r="AM6" s="148">
        <f t="shared" si="7"/>
        <v>5</v>
      </c>
      <c r="AN6" s="32">
        <f t="shared" si="27"/>
        <v>39932</v>
      </c>
      <c r="AO6" s="32">
        <f t="shared" ca="1" si="28"/>
        <v>0</v>
      </c>
      <c r="AP6" s="32">
        <f t="shared" ca="1" si="29"/>
        <v>16575</v>
      </c>
      <c r="AQ6" s="155"/>
      <c r="AR6" s="156"/>
    </row>
    <row r="7" spans="1:44" x14ac:dyDescent="0.15">
      <c r="A7" s="134"/>
      <c r="B7" s="144" t="s">
        <v>739</v>
      </c>
      <c r="C7" s="154">
        <v>250</v>
      </c>
      <c r="D7" s="142">
        <f t="shared" si="0"/>
        <v>5</v>
      </c>
      <c r="E7" s="32">
        <f t="shared" si="8"/>
        <v>395</v>
      </c>
      <c r="F7" s="32">
        <f t="shared" ca="1" si="30"/>
        <v>120</v>
      </c>
      <c r="G7" s="32">
        <f t="shared" ca="1" si="31"/>
        <v>109</v>
      </c>
      <c r="H7" s="147" t="s">
        <v>736</v>
      </c>
      <c r="I7" s="148">
        <f t="shared" si="1"/>
        <v>5</v>
      </c>
      <c r="J7" s="32">
        <f t="shared" si="9"/>
        <v>260</v>
      </c>
      <c r="K7" s="32">
        <f t="shared" ca="1" si="10"/>
        <v>60</v>
      </c>
      <c r="L7" s="32">
        <f t="shared" ca="1" si="11"/>
        <v>153</v>
      </c>
      <c r="M7" s="147" t="s">
        <v>776</v>
      </c>
      <c r="N7" s="148">
        <f t="shared" si="2"/>
        <v>5</v>
      </c>
      <c r="O7" s="32">
        <f t="shared" si="12"/>
        <v>354</v>
      </c>
      <c r="P7" s="32">
        <f t="shared" ca="1" si="13"/>
        <v>0</v>
      </c>
      <c r="Q7" s="32">
        <f t="shared" ca="1" si="14"/>
        <v>215</v>
      </c>
      <c r="R7" s="147"/>
      <c r="S7" s="148">
        <f t="shared" si="3"/>
        <v>2</v>
      </c>
      <c r="T7" s="32">
        <f t="shared" si="15"/>
        <v>129</v>
      </c>
      <c r="U7" s="32">
        <f t="shared" ca="1" si="16"/>
        <v>0</v>
      </c>
      <c r="V7" s="32">
        <f t="shared" ca="1" si="17"/>
        <v>47</v>
      </c>
      <c r="W7" s="147"/>
      <c r="X7" s="148">
        <f t="shared" si="4"/>
        <v>10</v>
      </c>
      <c r="Y7" s="32">
        <f t="shared" si="18"/>
        <v>3563</v>
      </c>
      <c r="Z7" s="32">
        <f t="shared" ca="1" si="19"/>
        <v>0</v>
      </c>
      <c r="AA7" s="32">
        <f t="shared" ca="1" si="20"/>
        <v>2299</v>
      </c>
      <c r="AB7" s="147"/>
      <c r="AC7" s="148">
        <f t="shared" si="5"/>
        <v>15</v>
      </c>
      <c r="AD7" s="32">
        <f t="shared" si="21"/>
        <v>24300</v>
      </c>
      <c r="AE7" s="32">
        <f t="shared" ca="1" si="22"/>
        <v>0</v>
      </c>
      <c r="AF7" s="32">
        <f t="shared" ca="1" si="23"/>
        <v>7569</v>
      </c>
      <c r="AG7" s="147"/>
      <c r="AH7" s="148">
        <f t="shared" si="6"/>
        <v>23</v>
      </c>
      <c r="AI7" s="32">
        <f t="shared" si="24"/>
        <v>120752</v>
      </c>
      <c r="AJ7" s="32">
        <f t="shared" ca="1" si="25"/>
        <v>0</v>
      </c>
      <c r="AK7" s="32">
        <f t="shared" ca="1" si="26"/>
        <v>15448</v>
      </c>
      <c r="AL7" s="147"/>
      <c r="AM7" s="148">
        <f t="shared" si="7"/>
        <v>5</v>
      </c>
      <c r="AN7" s="32">
        <f t="shared" si="27"/>
        <v>39932</v>
      </c>
      <c r="AO7" s="32">
        <f t="shared" ca="1" si="28"/>
        <v>0</v>
      </c>
      <c r="AP7" s="32">
        <f t="shared" ca="1" si="29"/>
        <v>16575</v>
      </c>
      <c r="AQ7" s="155"/>
      <c r="AR7" s="156"/>
    </row>
    <row r="8" spans="1:44" x14ac:dyDescent="0.15">
      <c r="A8" s="134"/>
      <c r="B8" s="144" t="s">
        <v>741</v>
      </c>
      <c r="C8" s="154">
        <f>IFERROR(VLOOKUP($B8,ボス,8,0),"")</f>
        <v>260</v>
      </c>
      <c r="D8" s="142">
        <f t="shared" si="0"/>
        <v>5</v>
      </c>
      <c r="E8" s="32">
        <f t="shared" si="8"/>
        <v>395</v>
      </c>
      <c r="F8" s="32">
        <f t="shared" ca="1" si="30"/>
        <v>120</v>
      </c>
      <c r="G8" s="32">
        <f t="shared" ca="1" si="31"/>
        <v>109</v>
      </c>
      <c r="H8" s="147"/>
      <c r="I8" s="148">
        <f t="shared" si="1"/>
        <v>5</v>
      </c>
      <c r="J8" s="32">
        <f t="shared" si="9"/>
        <v>260</v>
      </c>
      <c r="K8" s="32">
        <f t="shared" ca="1" si="10"/>
        <v>60</v>
      </c>
      <c r="L8" s="32">
        <f t="shared" ca="1" si="11"/>
        <v>153</v>
      </c>
      <c r="M8" s="147"/>
      <c r="N8" s="148">
        <f t="shared" si="2"/>
        <v>5</v>
      </c>
      <c r="O8" s="32">
        <f t="shared" si="12"/>
        <v>354</v>
      </c>
      <c r="P8" s="32">
        <f t="shared" ca="1" si="13"/>
        <v>0</v>
      </c>
      <c r="Q8" s="32">
        <f t="shared" ca="1" si="14"/>
        <v>215</v>
      </c>
      <c r="R8" s="147"/>
      <c r="S8" s="148">
        <f t="shared" si="3"/>
        <v>2</v>
      </c>
      <c r="T8" s="32">
        <f t="shared" si="15"/>
        <v>129</v>
      </c>
      <c r="U8" s="32">
        <f t="shared" ca="1" si="16"/>
        <v>0</v>
      </c>
      <c r="V8" s="32">
        <f t="shared" ca="1" si="17"/>
        <v>47</v>
      </c>
      <c r="W8" s="147"/>
      <c r="X8" s="148">
        <f t="shared" si="4"/>
        <v>10</v>
      </c>
      <c r="Y8" s="32">
        <f t="shared" si="18"/>
        <v>3563</v>
      </c>
      <c r="Z8" s="32">
        <f t="shared" ca="1" si="19"/>
        <v>0</v>
      </c>
      <c r="AA8" s="32">
        <f t="shared" ca="1" si="20"/>
        <v>2299</v>
      </c>
      <c r="AB8" s="147"/>
      <c r="AC8" s="148">
        <f t="shared" si="5"/>
        <v>15</v>
      </c>
      <c r="AD8" s="32">
        <f t="shared" si="21"/>
        <v>24300</v>
      </c>
      <c r="AE8" s="32">
        <f t="shared" ca="1" si="22"/>
        <v>0</v>
      </c>
      <c r="AF8" s="32">
        <f t="shared" ca="1" si="23"/>
        <v>7569</v>
      </c>
      <c r="AG8" s="147"/>
      <c r="AH8" s="148">
        <f t="shared" si="6"/>
        <v>23</v>
      </c>
      <c r="AI8" s="32">
        <f t="shared" si="24"/>
        <v>120752</v>
      </c>
      <c r="AJ8" s="32">
        <f t="shared" ca="1" si="25"/>
        <v>0</v>
      </c>
      <c r="AK8" s="32">
        <f t="shared" ca="1" si="26"/>
        <v>15448</v>
      </c>
      <c r="AL8" s="147"/>
      <c r="AM8" s="148">
        <f t="shared" si="7"/>
        <v>5</v>
      </c>
      <c r="AN8" s="32">
        <f t="shared" si="27"/>
        <v>39932</v>
      </c>
      <c r="AO8" s="32">
        <f t="shared" ca="1" si="28"/>
        <v>0</v>
      </c>
      <c r="AP8" s="32">
        <f t="shared" ca="1" si="29"/>
        <v>16575</v>
      </c>
      <c r="AQ8" s="155"/>
      <c r="AR8" s="156"/>
    </row>
    <row r="9" spans="1:44" x14ac:dyDescent="0.15">
      <c r="A9" s="134"/>
      <c r="B9" s="144" t="s">
        <v>739</v>
      </c>
      <c r="C9" s="154">
        <v>475</v>
      </c>
      <c r="D9" s="142">
        <f t="shared" si="0"/>
        <v>7</v>
      </c>
      <c r="E9" s="32">
        <f t="shared" si="8"/>
        <v>870</v>
      </c>
      <c r="F9" s="32">
        <f t="shared" ca="1" si="30"/>
        <v>23</v>
      </c>
      <c r="G9" s="32">
        <f t="shared" ca="1" si="31"/>
        <v>491</v>
      </c>
      <c r="H9" s="147" t="s">
        <v>736</v>
      </c>
      <c r="I9" s="148">
        <f t="shared" si="1"/>
        <v>7</v>
      </c>
      <c r="J9" s="32">
        <f t="shared" si="9"/>
        <v>735</v>
      </c>
      <c r="K9" s="32">
        <f t="shared" ca="1" si="10"/>
        <v>30</v>
      </c>
      <c r="L9" s="32">
        <f t="shared" ca="1" si="11"/>
        <v>371</v>
      </c>
      <c r="M9" s="147" t="s">
        <v>736</v>
      </c>
      <c r="N9" s="148">
        <f t="shared" si="2"/>
        <v>6</v>
      </c>
      <c r="O9" s="32">
        <f t="shared" si="12"/>
        <v>829</v>
      </c>
      <c r="P9" s="32">
        <f t="shared" ca="1" si="13"/>
        <v>260</v>
      </c>
      <c r="Q9" s="32">
        <f t="shared" ca="1" si="14"/>
        <v>49</v>
      </c>
      <c r="R9" s="147" t="s">
        <v>736</v>
      </c>
      <c r="S9" s="148">
        <f t="shared" si="3"/>
        <v>2</v>
      </c>
      <c r="T9" s="32">
        <f t="shared" si="15"/>
        <v>129</v>
      </c>
      <c r="U9" s="32">
        <f t="shared" ca="1" si="16"/>
        <v>0</v>
      </c>
      <c r="V9" s="32">
        <f t="shared" ca="1" si="17"/>
        <v>47</v>
      </c>
      <c r="W9" s="147"/>
      <c r="X9" s="148">
        <f t="shared" si="4"/>
        <v>10</v>
      </c>
      <c r="Y9" s="32">
        <f t="shared" si="18"/>
        <v>3563</v>
      </c>
      <c r="Z9" s="32">
        <f t="shared" ca="1" si="19"/>
        <v>0</v>
      </c>
      <c r="AA9" s="32">
        <f t="shared" ca="1" si="20"/>
        <v>2299</v>
      </c>
      <c r="AB9" s="147"/>
      <c r="AC9" s="148">
        <f t="shared" si="5"/>
        <v>15</v>
      </c>
      <c r="AD9" s="32">
        <f t="shared" si="21"/>
        <v>24300</v>
      </c>
      <c r="AE9" s="32">
        <f t="shared" ca="1" si="22"/>
        <v>0</v>
      </c>
      <c r="AF9" s="32">
        <f t="shared" ca="1" si="23"/>
        <v>7569</v>
      </c>
      <c r="AG9" s="147"/>
      <c r="AH9" s="148">
        <f t="shared" si="6"/>
        <v>23</v>
      </c>
      <c r="AI9" s="32">
        <f t="shared" si="24"/>
        <v>120752</v>
      </c>
      <c r="AJ9" s="32">
        <f t="shared" ca="1" si="25"/>
        <v>0</v>
      </c>
      <c r="AK9" s="32">
        <f t="shared" ca="1" si="26"/>
        <v>15448</v>
      </c>
      <c r="AL9" s="147"/>
      <c r="AM9" s="148">
        <f t="shared" si="7"/>
        <v>5</v>
      </c>
      <c r="AN9" s="32">
        <f t="shared" si="27"/>
        <v>39932</v>
      </c>
      <c r="AO9" s="32">
        <f t="shared" ca="1" si="28"/>
        <v>0</v>
      </c>
      <c r="AP9" s="32">
        <f t="shared" ca="1" si="29"/>
        <v>16575</v>
      </c>
      <c r="AQ9" s="147"/>
      <c r="AR9" s="156"/>
    </row>
    <row r="10" spans="1:44" x14ac:dyDescent="0.15">
      <c r="A10" s="134"/>
      <c r="B10" s="144" t="s">
        <v>742</v>
      </c>
      <c r="C10" s="154">
        <f t="shared" ref="C10:C22" si="32">IFERROR(VLOOKUP($B10,ボス,8,0),"")</f>
        <v>330</v>
      </c>
      <c r="D10" s="142">
        <f t="shared" si="0"/>
        <v>7</v>
      </c>
      <c r="E10" s="32">
        <f t="shared" si="8"/>
        <v>1200</v>
      </c>
      <c r="F10" s="32">
        <f t="shared" ca="1" si="30"/>
        <v>353</v>
      </c>
      <c r="G10" s="32">
        <f t="shared" ca="1" si="31"/>
        <v>161</v>
      </c>
      <c r="H10" s="147" t="s">
        <v>736</v>
      </c>
      <c r="I10" s="148">
        <f t="shared" si="1"/>
        <v>7</v>
      </c>
      <c r="J10" s="32">
        <f t="shared" si="9"/>
        <v>1065</v>
      </c>
      <c r="K10" s="32">
        <f t="shared" ca="1" si="10"/>
        <v>360</v>
      </c>
      <c r="L10" s="32">
        <f t="shared" ca="1" si="11"/>
        <v>41</v>
      </c>
      <c r="M10" s="147" t="s">
        <v>736</v>
      </c>
      <c r="N10" s="148">
        <f t="shared" si="2"/>
        <v>7</v>
      </c>
      <c r="O10" s="32">
        <f t="shared" si="12"/>
        <v>1159</v>
      </c>
      <c r="P10" s="32">
        <f t="shared" ca="1" si="13"/>
        <v>281</v>
      </c>
      <c r="Q10" s="32">
        <f t="shared" ca="1" si="14"/>
        <v>163</v>
      </c>
      <c r="R10" s="147" t="s">
        <v>736</v>
      </c>
      <c r="S10" s="148">
        <f t="shared" si="3"/>
        <v>2</v>
      </c>
      <c r="T10" s="32">
        <f t="shared" si="15"/>
        <v>129</v>
      </c>
      <c r="U10" s="32">
        <f t="shared" ca="1" si="16"/>
        <v>0</v>
      </c>
      <c r="V10" s="32">
        <f t="shared" ca="1" si="17"/>
        <v>47</v>
      </c>
      <c r="W10" s="147"/>
      <c r="X10" s="148">
        <f t="shared" si="4"/>
        <v>10</v>
      </c>
      <c r="Y10" s="32">
        <f t="shared" si="18"/>
        <v>3563</v>
      </c>
      <c r="Z10" s="32">
        <f t="shared" ca="1" si="19"/>
        <v>0</v>
      </c>
      <c r="AA10" s="32">
        <f t="shared" ca="1" si="20"/>
        <v>2299</v>
      </c>
      <c r="AB10" s="147"/>
      <c r="AC10" s="148">
        <f t="shared" si="5"/>
        <v>15</v>
      </c>
      <c r="AD10" s="32">
        <f t="shared" si="21"/>
        <v>24300</v>
      </c>
      <c r="AE10" s="32">
        <f t="shared" ca="1" si="22"/>
        <v>0</v>
      </c>
      <c r="AF10" s="32">
        <f t="shared" ca="1" si="23"/>
        <v>7569</v>
      </c>
      <c r="AG10" s="147"/>
      <c r="AH10" s="148">
        <f t="shared" si="6"/>
        <v>23</v>
      </c>
      <c r="AI10" s="32">
        <f t="shared" si="24"/>
        <v>120752</v>
      </c>
      <c r="AJ10" s="32">
        <f t="shared" ca="1" si="25"/>
        <v>0</v>
      </c>
      <c r="AK10" s="32">
        <f t="shared" ca="1" si="26"/>
        <v>15448</v>
      </c>
      <c r="AL10" s="147"/>
      <c r="AM10" s="148">
        <f t="shared" si="7"/>
        <v>5</v>
      </c>
      <c r="AN10" s="32">
        <f t="shared" si="27"/>
        <v>39932</v>
      </c>
      <c r="AO10" s="32">
        <f t="shared" ca="1" si="28"/>
        <v>0</v>
      </c>
      <c r="AP10" s="32">
        <f t="shared" ca="1" si="29"/>
        <v>16575</v>
      </c>
      <c r="AQ10" s="147"/>
      <c r="AR10" s="156"/>
    </row>
    <row r="11" spans="1:44" x14ac:dyDescent="0.15">
      <c r="A11" s="134"/>
      <c r="B11" s="144" t="s">
        <v>859</v>
      </c>
      <c r="C11" s="154">
        <f>IFERROR(VLOOKUP($B11,ボス,8,0),"")</f>
        <v>280</v>
      </c>
      <c r="D11" s="142">
        <f t="shared" si="0"/>
        <v>8</v>
      </c>
      <c r="E11" s="32">
        <f>E10+IF(H11="○",$C11,0)</f>
        <v>1480</v>
      </c>
      <c r="F11" s="32">
        <f t="shared" ca="1" si="30"/>
        <v>119</v>
      </c>
      <c r="G11" s="32">
        <f t="shared" ca="1" si="31"/>
        <v>652</v>
      </c>
      <c r="H11" s="147" t="s">
        <v>736</v>
      </c>
      <c r="I11" s="148">
        <f t="shared" si="1"/>
        <v>8</v>
      </c>
      <c r="J11" s="32">
        <f>J10+IF(M11="○",$C11,0)</f>
        <v>1345</v>
      </c>
      <c r="K11" s="32">
        <f t="shared" ca="1" si="10"/>
        <v>239</v>
      </c>
      <c r="L11" s="32">
        <f t="shared" ca="1" si="11"/>
        <v>312</v>
      </c>
      <c r="M11" s="147" t="s">
        <v>736</v>
      </c>
      <c r="N11" s="148">
        <f t="shared" si="2"/>
        <v>8</v>
      </c>
      <c r="O11" s="32">
        <f>O10+IF(R11="○",$C11,0)</f>
        <v>1439</v>
      </c>
      <c r="P11" s="32">
        <f t="shared" ca="1" si="13"/>
        <v>117</v>
      </c>
      <c r="Q11" s="32">
        <f t="shared" ca="1" si="14"/>
        <v>521</v>
      </c>
      <c r="R11" s="147" t="s">
        <v>736</v>
      </c>
      <c r="S11" s="148">
        <f t="shared" si="3"/>
        <v>2</v>
      </c>
      <c r="T11" s="32">
        <f>T10+IF(W11="○",$C11,0)</f>
        <v>129</v>
      </c>
      <c r="U11" s="32">
        <f t="shared" ca="1" si="16"/>
        <v>0</v>
      </c>
      <c r="V11" s="32">
        <f t="shared" ca="1" si="17"/>
        <v>47</v>
      </c>
      <c r="W11" s="147"/>
      <c r="X11" s="148">
        <f t="shared" si="4"/>
        <v>10</v>
      </c>
      <c r="Y11" s="32">
        <f>Y10+IF(AB11="○",$C11,0)</f>
        <v>3563</v>
      </c>
      <c r="Z11" s="32">
        <f t="shared" ca="1" si="19"/>
        <v>0</v>
      </c>
      <c r="AA11" s="32">
        <f t="shared" ca="1" si="20"/>
        <v>2299</v>
      </c>
      <c r="AB11" s="147"/>
      <c r="AC11" s="148">
        <f t="shared" si="5"/>
        <v>15</v>
      </c>
      <c r="AD11" s="32">
        <f>AD10+IF(AG11="○",$C11,0)</f>
        <v>24300</v>
      </c>
      <c r="AE11" s="32">
        <f t="shared" ca="1" si="22"/>
        <v>0</v>
      </c>
      <c r="AF11" s="32">
        <f t="shared" ca="1" si="23"/>
        <v>7569</v>
      </c>
      <c r="AG11" s="147"/>
      <c r="AH11" s="148">
        <f t="shared" si="6"/>
        <v>23</v>
      </c>
      <c r="AI11" s="32">
        <f>AI10+IF(AL11="○",$C11,0)</f>
        <v>120752</v>
      </c>
      <c r="AJ11" s="32">
        <f t="shared" ca="1" si="25"/>
        <v>0</v>
      </c>
      <c r="AK11" s="32">
        <f t="shared" ca="1" si="26"/>
        <v>15448</v>
      </c>
      <c r="AL11" s="147"/>
      <c r="AM11" s="148">
        <f t="shared" si="7"/>
        <v>5</v>
      </c>
      <c r="AN11" s="32">
        <f>AN10+IF(AQ11="○",$C11,0)</f>
        <v>39932</v>
      </c>
      <c r="AO11" s="32">
        <f t="shared" ca="1" si="28"/>
        <v>0</v>
      </c>
      <c r="AP11" s="32">
        <f t="shared" ca="1" si="29"/>
        <v>16575</v>
      </c>
      <c r="AQ11" s="147"/>
      <c r="AR11" s="156"/>
    </row>
    <row r="12" spans="1:44" x14ac:dyDescent="0.15">
      <c r="A12" s="134"/>
      <c r="B12" s="144" t="s">
        <v>859</v>
      </c>
      <c r="C12" s="154">
        <f>IFERROR(VLOOKUP($B12,ボス,8,0),"")</f>
        <v>280</v>
      </c>
      <c r="D12" s="142">
        <f t="shared" si="0"/>
        <v>8</v>
      </c>
      <c r="E12" s="32">
        <f t="shared" si="8"/>
        <v>1760</v>
      </c>
      <c r="F12" s="32">
        <f t="shared" ca="1" si="30"/>
        <v>399</v>
      </c>
      <c r="G12" s="32">
        <f t="shared" ca="1" si="31"/>
        <v>372</v>
      </c>
      <c r="H12" s="147" t="s">
        <v>736</v>
      </c>
      <c r="I12" s="148">
        <f t="shared" si="1"/>
        <v>8</v>
      </c>
      <c r="J12" s="32">
        <f t="shared" si="9"/>
        <v>1625</v>
      </c>
      <c r="K12" s="32">
        <f t="shared" ca="1" si="10"/>
        <v>519</v>
      </c>
      <c r="L12" s="32">
        <f t="shared" ca="1" si="11"/>
        <v>32</v>
      </c>
      <c r="M12" s="147" t="s">
        <v>736</v>
      </c>
      <c r="N12" s="148">
        <f t="shared" si="2"/>
        <v>8</v>
      </c>
      <c r="O12" s="32">
        <f t="shared" si="12"/>
        <v>1719</v>
      </c>
      <c r="P12" s="32">
        <f t="shared" ca="1" si="13"/>
        <v>397</v>
      </c>
      <c r="Q12" s="32">
        <f t="shared" ca="1" si="14"/>
        <v>241</v>
      </c>
      <c r="R12" s="147" t="s">
        <v>736</v>
      </c>
      <c r="S12" s="148">
        <f t="shared" si="3"/>
        <v>2</v>
      </c>
      <c r="T12" s="32">
        <f t="shared" si="15"/>
        <v>129</v>
      </c>
      <c r="U12" s="32">
        <f t="shared" ca="1" si="16"/>
        <v>0</v>
      </c>
      <c r="V12" s="32">
        <f t="shared" ca="1" si="17"/>
        <v>47</v>
      </c>
      <c r="W12" s="147"/>
      <c r="X12" s="148">
        <f t="shared" si="4"/>
        <v>10</v>
      </c>
      <c r="Y12" s="32">
        <f t="shared" si="18"/>
        <v>3563</v>
      </c>
      <c r="Z12" s="32">
        <f t="shared" ca="1" si="19"/>
        <v>0</v>
      </c>
      <c r="AA12" s="32">
        <f t="shared" ca="1" si="20"/>
        <v>2299</v>
      </c>
      <c r="AB12" s="147"/>
      <c r="AC12" s="148">
        <f t="shared" si="5"/>
        <v>15</v>
      </c>
      <c r="AD12" s="32">
        <f t="shared" si="21"/>
        <v>24300</v>
      </c>
      <c r="AE12" s="32">
        <f t="shared" ca="1" si="22"/>
        <v>0</v>
      </c>
      <c r="AF12" s="32">
        <f t="shared" ca="1" si="23"/>
        <v>7569</v>
      </c>
      <c r="AG12" s="147"/>
      <c r="AH12" s="148">
        <f t="shared" si="6"/>
        <v>23</v>
      </c>
      <c r="AI12" s="32">
        <f t="shared" si="24"/>
        <v>120752</v>
      </c>
      <c r="AJ12" s="32">
        <f t="shared" ca="1" si="25"/>
        <v>0</v>
      </c>
      <c r="AK12" s="32">
        <f t="shared" ca="1" si="26"/>
        <v>15448</v>
      </c>
      <c r="AL12" s="147"/>
      <c r="AM12" s="148">
        <f t="shared" si="7"/>
        <v>5</v>
      </c>
      <c r="AN12" s="32">
        <f t="shared" si="27"/>
        <v>39932</v>
      </c>
      <c r="AO12" s="32">
        <f t="shared" ca="1" si="28"/>
        <v>0</v>
      </c>
      <c r="AP12" s="32">
        <f t="shared" ca="1" si="29"/>
        <v>16575</v>
      </c>
      <c r="AQ12" s="147"/>
      <c r="AR12" s="156"/>
    </row>
    <row r="13" spans="1:44" x14ac:dyDescent="0.15">
      <c r="A13" s="134"/>
      <c r="B13" s="144" t="s">
        <v>859</v>
      </c>
      <c r="C13" s="154">
        <f t="shared" si="32"/>
        <v>280</v>
      </c>
      <c r="D13" s="142">
        <f t="shared" si="0"/>
        <v>8</v>
      </c>
      <c r="E13" s="32">
        <f t="shared" si="8"/>
        <v>2040</v>
      </c>
      <c r="F13" s="32">
        <f t="shared" ca="1" si="30"/>
        <v>679</v>
      </c>
      <c r="G13" s="32">
        <f t="shared" ca="1" si="31"/>
        <v>92</v>
      </c>
      <c r="H13" s="147" t="s">
        <v>736</v>
      </c>
      <c r="I13" s="148">
        <f t="shared" si="1"/>
        <v>9</v>
      </c>
      <c r="J13" s="32">
        <f t="shared" si="9"/>
        <v>1905</v>
      </c>
      <c r="K13" s="32">
        <f t="shared" ca="1" si="10"/>
        <v>248</v>
      </c>
      <c r="L13" s="32">
        <f t="shared" ca="1" si="11"/>
        <v>509</v>
      </c>
      <c r="M13" s="147" t="s">
        <v>736</v>
      </c>
      <c r="N13" s="148">
        <f t="shared" si="2"/>
        <v>9</v>
      </c>
      <c r="O13" s="32">
        <f t="shared" si="12"/>
        <v>1999</v>
      </c>
      <c r="P13" s="32">
        <f t="shared" ca="1" si="13"/>
        <v>39</v>
      </c>
      <c r="Q13" s="32">
        <f t="shared" ca="1" si="14"/>
        <v>878</v>
      </c>
      <c r="R13" s="147" t="s">
        <v>736</v>
      </c>
      <c r="S13" s="148">
        <f t="shared" si="3"/>
        <v>2</v>
      </c>
      <c r="T13" s="32">
        <f t="shared" si="15"/>
        <v>129</v>
      </c>
      <c r="U13" s="32">
        <f t="shared" ca="1" si="16"/>
        <v>0</v>
      </c>
      <c r="V13" s="32">
        <f t="shared" ca="1" si="17"/>
        <v>47</v>
      </c>
      <c r="W13" s="147"/>
      <c r="X13" s="148">
        <f t="shared" si="4"/>
        <v>10</v>
      </c>
      <c r="Y13" s="32">
        <f t="shared" si="18"/>
        <v>3563</v>
      </c>
      <c r="Z13" s="32">
        <f t="shared" ca="1" si="19"/>
        <v>0</v>
      </c>
      <c r="AA13" s="32">
        <f t="shared" ca="1" si="20"/>
        <v>2299</v>
      </c>
      <c r="AB13" s="147"/>
      <c r="AC13" s="148">
        <f t="shared" si="5"/>
        <v>15</v>
      </c>
      <c r="AD13" s="32">
        <f t="shared" si="21"/>
        <v>24300</v>
      </c>
      <c r="AE13" s="32">
        <f t="shared" ca="1" si="22"/>
        <v>0</v>
      </c>
      <c r="AF13" s="32">
        <f t="shared" ca="1" si="23"/>
        <v>7569</v>
      </c>
      <c r="AG13" s="147"/>
      <c r="AH13" s="148">
        <f t="shared" si="6"/>
        <v>23</v>
      </c>
      <c r="AI13" s="32">
        <f t="shared" si="24"/>
        <v>120752</v>
      </c>
      <c r="AJ13" s="32">
        <f t="shared" ca="1" si="25"/>
        <v>0</v>
      </c>
      <c r="AK13" s="32">
        <f t="shared" ca="1" si="26"/>
        <v>15448</v>
      </c>
      <c r="AL13" s="147"/>
      <c r="AM13" s="148">
        <f t="shared" si="7"/>
        <v>5</v>
      </c>
      <c r="AN13" s="32">
        <f t="shared" si="27"/>
        <v>39932</v>
      </c>
      <c r="AO13" s="32">
        <f t="shared" ca="1" si="28"/>
        <v>0</v>
      </c>
      <c r="AP13" s="32">
        <f t="shared" ca="1" si="29"/>
        <v>16575</v>
      </c>
      <c r="AQ13" s="147"/>
      <c r="AR13" s="156"/>
    </row>
    <row r="14" spans="1:44" x14ac:dyDescent="0.15">
      <c r="A14" s="134"/>
      <c r="B14" s="144" t="s">
        <v>743</v>
      </c>
      <c r="C14" s="154">
        <f>IFERROR(VLOOKUP($B14,ボス,8,0),"")</f>
        <v>2270</v>
      </c>
      <c r="D14" s="142">
        <f t="shared" si="0"/>
        <v>10</v>
      </c>
      <c r="E14" s="32">
        <f t="shared" si="8"/>
        <v>4310</v>
      </c>
      <c r="F14" s="32">
        <f t="shared" ca="1" si="30"/>
        <v>1022</v>
      </c>
      <c r="G14" s="32">
        <f t="shared" ca="1" si="31"/>
        <v>495</v>
      </c>
      <c r="H14" s="147" t="s">
        <v>736</v>
      </c>
      <c r="I14" s="148">
        <f>COUNTIF(ハッサンExp,"&lt;="&amp;J14)</f>
        <v>11</v>
      </c>
      <c r="J14" s="32">
        <f t="shared" si="9"/>
        <v>4175</v>
      </c>
      <c r="K14" s="32">
        <f t="shared" ca="1" si="10"/>
        <v>673</v>
      </c>
      <c r="L14" s="32">
        <f t="shared" ca="1" si="11"/>
        <v>891</v>
      </c>
      <c r="M14" s="147" t="s">
        <v>736</v>
      </c>
      <c r="N14" s="148">
        <f t="shared" si="2"/>
        <v>11</v>
      </c>
      <c r="O14" s="32">
        <f t="shared" si="12"/>
        <v>4269</v>
      </c>
      <c r="P14" s="32">
        <f t="shared" ca="1" si="13"/>
        <v>74</v>
      </c>
      <c r="Q14" s="32">
        <f t="shared" ca="1" si="14"/>
        <v>1820</v>
      </c>
      <c r="R14" s="147" t="s">
        <v>736</v>
      </c>
      <c r="S14" s="148">
        <f t="shared" si="3"/>
        <v>5</v>
      </c>
      <c r="T14" s="32">
        <f t="shared" si="15"/>
        <v>2399</v>
      </c>
      <c r="U14" s="32">
        <f t="shared" ca="1" si="16"/>
        <v>896</v>
      </c>
      <c r="V14" s="32">
        <f t="shared" ca="1" si="17"/>
        <v>259</v>
      </c>
      <c r="W14" s="147" t="s">
        <v>736</v>
      </c>
      <c r="X14" s="148">
        <f t="shared" si="4"/>
        <v>10</v>
      </c>
      <c r="Y14" s="32">
        <f t="shared" si="18"/>
        <v>3563</v>
      </c>
      <c r="Z14" s="32">
        <f t="shared" ca="1" si="19"/>
        <v>0</v>
      </c>
      <c r="AA14" s="32">
        <f t="shared" ca="1" si="20"/>
        <v>2299</v>
      </c>
      <c r="AB14" s="147"/>
      <c r="AC14" s="148">
        <f t="shared" si="5"/>
        <v>15</v>
      </c>
      <c r="AD14" s="32">
        <f t="shared" si="21"/>
        <v>24300</v>
      </c>
      <c r="AE14" s="32">
        <f t="shared" ca="1" si="22"/>
        <v>0</v>
      </c>
      <c r="AF14" s="32">
        <f t="shared" ca="1" si="23"/>
        <v>7569</v>
      </c>
      <c r="AG14" s="147"/>
      <c r="AH14" s="148">
        <f t="shared" si="6"/>
        <v>23</v>
      </c>
      <c r="AI14" s="32">
        <f t="shared" si="24"/>
        <v>120752</v>
      </c>
      <c r="AJ14" s="32">
        <f t="shared" ca="1" si="25"/>
        <v>0</v>
      </c>
      <c r="AK14" s="32">
        <f t="shared" ca="1" si="26"/>
        <v>15448</v>
      </c>
      <c r="AL14" s="147"/>
      <c r="AM14" s="148">
        <f t="shared" si="7"/>
        <v>5</v>
      </c>
      <c r="AN14" s="32">
        <f t="shared" si="27"/>
        <v>39932</v>
      </c>
      <c r="AO14" s="32">
        <f t="shared" ca="1" si="28"/>
        <v>0</v>
      </c>
      <c r="AP14" s="32">
        <f t="shared" ca="1" si="29"/>
        <v>16575</v>
      </c>
      <c r="AQ14" s="147"/>
      <c r="AR14" s="156"/>
    </row>
    <row r="15" spans="1:44" x14ac:dyDescent="0.15">
      <c r="A15" s="134"/>
      <c r="B15" s="144" t="s">
        <v>415</v>
      </c>
      <c r="C15" s="154">
        <f t="shared" si="32"/>
        <v>165</v>
      </c>
      <c r="D15" s="142">
        <f t="shared" si="0"/>
        <v>10</v>
      </c>
      <c r="E15" s="32">
        <f t="shared" si="8"/>
        <v>4475</v>
      </c>
      <c r="F15" s="32">
        <f t="shared" ca="1" si="30"/>
        <v>1187</v>
      </c>
      <c r="G15" s="32">
        <f t="shared" ca="1" si="31"/>
        <v>330</v>
      </c>
      <c r="H15" s="147" t="s">
        <v>736</v>
      </c>
      <c r="I15" s="148">
        <f t="shared" si="1"/>
        <v>11</v>
      </c>
      <c r="J15" s="32">
        <f t="shared" si="9"/>
        <v>4340</v>
      </c>
      <c r="K15" s="32">
        <f t="shared" ca="1" si="10"/>
        <v>838</v>
      </c>
      <c r="L15" s="32">
        <f t="shared" ca="1" si="11"/>
        <v>726</v>
      </c>
      <c r="M15" s="147" t="s">
        <v>736</v>
      </c>
      <c r="N15" s="148">
        <f t="shared" si="2"/>
        <v>11</v>
      </c>
      <c r="O15" s="32">
        <f t="shared" si="12"/>
        <v>4434</v>
      </c>
      <c r="P15" s="32">
        <f t="shared" ca="1" si="13"/>
        <v>239</v>
      </c>
      <c r="Q15" s="32">
        <f t="shared" ca="1" si="14"/>
        <v>1655</v>
      </c>
      <c r="R15" s="147" t="s">
        <v>736</v>
      </c>
      <c r="S15" s="148">
        <f t="shared" si="3"/>
        <v>5</v>
      </c>
      <c r="T15" s="32">
        <f t="shared" si="15"/>
        <v>2564</v>
      </c>
      <c r="U15" s="32">
        <f t="shared" ca="1" si="16"/>
        <v>1061</v>
      </c>
      <c r="V15" s="32">
        <f t="shared" ca="1" si="17"/>
        <v>94</v>
      </c>
      <c r="W15" s="147" t="s">
        <v>736</v>
      </c>
      <c r="X15" s="148">
        <f t="shared" si="4"/>
        <v>10</v>
      </c>
      <c r="Y15" s="32">
        <f t="shared" si="18"/>
        <v>3728</v>
      </c>
      <c r="Z15" s="32">
        <f t="shared" ca="1" si="19"/>
        <v>165</v>
      </c>
      <c r="AA15" s="32">
        <f t="shared" ca="1" si="20"/>
        <v>2134</v>
      </c>
      <c r="AB15" s="147" t="s">
        <v>736</v>
      </c>
      <c r="AC15" s="148">
        <f t="shared" si="5"/>
        <v>15</v>
      </c>
      <c r="AD15" s="32">
        <f t="shared" si="21"/>
        <v>24300</v>
      </c>
      <c r="AE15" s="32">
        <f t="shared" ca="1" si="22"/>
        <v>0</v>
      </c>
      <c r="AF15" s="32">
        <f t="shared" ca="1" si="23"/>
        <v>7569</v>
      </c>
      <c r="AG15" s="147"/>
      <c r="AH15" s="148">
        <f t="shared" si="6"/>
        <v>23</v>
      </c>
      <c r="AI15" s="32">
        <f t="shared" si="24"/>
        <v>120752</v>
      </c>
      <c r="AJ15" s="32">
        <f t="shared" ca="1" si="25"/>
        <v>0</v>
      </c>
      <c r="AK15" s="32">
        <f t="shared" ca="1" si="26"/>
        <v>15448</v>
      </c>
      <c r="AL15" s="147"/>
      <c r="AM15" s="148">
        <f t="shared" si="7"/>
        <v>5</v>
      </c>
      <c r="AN15" s="32">
        <f t="shared" si="27"/>
        <v>39932</v>
      </c>
      <c r="AO15" s="32">
        <f t="shared" ca="1" si="28"/>
        <v>0</v>
      </c>
      <c r="AP15" s="32">
        <f t="shared" ca="1" si="29"/>
        <v>16575</v>
      </c>
      <c r="AQ15" s="147"/>
      <c r="AR15" s="156"/>
    </row>
    <row r="16" spans="1:44" x14ac:dyDescent="0.15">
      <c r="A16" s="134"/>
      <c r="B16" s="144" t="s">
        <v>415</v>
      </c>
      <c r="C16" s="154">
        <f t="shared" si="32"/>
        <v>165</v>
      </c>
      <c r="D16" s="142">
        <f t="shared" si="0"/>
        <v>10</v>
      </c>
      <c r="E16" s="32">
        <f t="shared" si="8"/>
        <v>4640</v>
      </c>
      <c r="F16" s="32">
        <f t="shared" ca="1" si="30"/>
        <v>1352</v>
      </c>
      <c r="G16" s="32">
        <f t="shared" ca="1" si="31"/>
        <v>165</v>
      </c>
      <c r="H16" s="147" t="s">
        <v>736</v>
      </c>
      <c r="I16" s="148">
        <f t="shared" si="1"/>
        <v>11</v>
      </c>
      <c r="J16" s="32">
        <f t="shared" si="9"/>
        <v>4505</v>
      </c>
      <c r="K16" s="32">
        <f t="shared" ca="1" si="10"/>
        <v>1003</v>
      </c>
      <c r="L16" s="32">
        <f t="shared" ca="1" si="11"/>
        <v>561</v>
      </c>
      <c r="M16" s="147" t="s">
        <v>736</v>
      </c>
      <c r="N16" s="148">
        <f t="shared" si="2"/>
        <v>11</v>
      </c>
      <c r="O16" s="32">
        <f t="shared" si="12"/>
        <v>4599</v>
      </c>
      <c r="P16" s="32">
        <f t="shared" ca="1" si="13"/>
        <v>404</v>
      </c>
      <c r="Q16" s="32">
        <f t="shared" ca="1" si="14"/>
        <v>1490</v>
      </c>
      <c r="R16" s="147" t="s">
        <v>736</v>
      </c>
      <c r="S16" s="148">
        <f t="shared" si="3"/>
        <v>6</v>
      </c>
      <c r="T16" s="32">
        <f t="shared" si="15"/>
        <v>2729</v>
      </c>
      <c r="U16" s="32">
        <f t="shared" ca="1" si="16"/>
        <v>71</v>
      </c>
      <c r="V16" s="32">
        <f t="shared" ca="1" si="17"/>
        <v>1300</v>
      </c>
      <c r="W16" s="147" t="s">
        <v>736</v>
      </c>
      <c r="X16" s="148">
        <f t="shared" si="4"/>
        <v>10</v>
      </c>
      <c r="Y16" s="32">
        <f t="shared" si="18"/>
        <v>3893</v>
      </c>
      <c r="Z16" s="32">
        <f t="shared" ca="1" si="19"/>
        <v>330</v>
      </c>
      <c r="AA16" s="32">
        <f t="shared" ca="1" si="20"/>
        <v>1969</v>
      </c>
      <c r="AB16" s="147" t="s">
        <v>736</v>
      </c>
      <c r="AC16" s="148">
        <f t="shared" si="5"/>
        <v>15</v>
      </c>
      <c r="AD16" s="32">
        <f t="shared" si="21"/>
        <v>24300</v>
      </c>
      <c r="AE16" s="32">
        <f t="shared" ca="1" si="22"/>
        <v>0</v>
      </c>
      <c r="AF16" s="32">
        <f t="shared" ca="1" si="23"/>
        <v>7569</v>
      </c>
      <c r="AG16" s="147"/>
      <c r="AH16" s="148">
        <f t="shared" si="6"/>
        <v>23</v>
      </c>
      <c r="AI16" s="32">
        <f t="shared" si="24"/>
        <v>120752</v>
      </c>
      <c r="AJ16" s="32">
        <f t="shared" ca="1" si="25"/>
        <v>0</v>
      </c>
      <c r="AK16" s="32">
        <f t="shared" ca="1" si="26"/>
        <v>15448</v>
      </c>
      <c r="AL16" s="147"/>
      <c r="AM16" s="148">
        <f t="shared" si="7"/>
        <v>5</v>
      </c>
      <c r="AN16" s="32">
        <f t="shared" si="27"/>
        <v>39932</v>
      </c>
      <c r="AO16" s="32">
        <f t="shared" ca="1" si="28"/>
        <v>0</v>
      </c>
      <c r="AP16" s="32">
        <f t="shared" ca="1" si="29"/>
        <v>16575</v>
      </c>
      <c r="AQ16" s="147"/>
      <c r="AR16" s="156"/>
    </row>
    <row r="17" spans="1:44" x14ac:dyDescent="0.15">
      <c r="A17" s="134"/>
      <c r="B17" s="144" t="s">
        <v>744</v>
      </c>
      <c r="C17" s="154">
        <f t="shared" si="32"/>
        <v>520</v>
      </c>
      <c r="D17" s="142">
        <f t="shared" si="0"/>
        <v>11</v>
      </c>
      <c r="E17" s="32">
        <f t="shared" si="8"/>
        <v>5160</v>
      </c>
      <c r="F17" s="32">
        <f t="shared" ca="1" si="30"/>
        <v>355</v>
      </c>
      <c r="G17" s="32">
        <f t="shared" ca="1" si="31"/>
        <v>1636</v>
      </c>
      <c r="H17" s="147" t="s">
        <v>736</v>
      </c>
      <c r="I17" s="148">
        <f t="shared" si="1"/>
        <v>11</v>
      </c>
      <c r="J17" s="32">
        <f t="shared" si="9"/>
        <v>5025</v>
      </c>
      <c r="K17" s="32">
        <f t="shared" ca="1" si="10"/>
        <v>1523</v>
      </c>
      <c r="L17" s="32">
        <f t="shared" ca="1" si="11"/>
        <v>41</v>
      </c>
      <c r="M17" s="147" t="s">
        <v>736</v>
      </c>
      <c r="N17" s="148">
        <f t="shared" si="2"/>
        <v>11</v>
      </c>
      <c r="O17" s="32">
        <f t="shared" si="12"/>
        <v>5119</v>
      </c>
      <c r="P17" s="32">
        <f t="shared" ca="1" si="13"/>
        <v>924</v>
      </c>
      <c r="Q17" s="32">
        <f t="shared" ca="1" si="14"/>
        <v>970</v>
      </c>
      <c r="R17" s="147" t="s">
        <v>736</v>
      </c>
      <c r="S17" s="148">
        <f t="shared" si="3"/>
        <v>6</v>
      </c>
      <c r="T17" s="32">
        <f t="shared" si="15"/>
        <v>3249</v>
      </c>
      <c r="U17" s="32">
        <f t="shared" ca="1" si="16"/>
        <v>591</v>
      </c>
      <c r="V17" s="32">
        <f t="shared" ca="1" si="17"/>
        <v>780</v>
      </c>
      <c r="W17" s="147" t="s">
        <v>736</v>
      </c>
      <c r="X17" s="148">
        <f t="shared" si="4"/>
        <v>10</v>
      </c>
      <c r="Y17" s="32">
        <f t="shared" si="18"/>
        <v>4413</v>
      </c>
      <c r="Z17" s="32">
        <f t="shared" ca="1" si="19"/>
        <v>850</v>
      </c>
      <c r="AA17" s="32">
        <f t="shared" ca="1" si="20"/>
        <v>1449</v>
      </c>
      <c r="AB17" s="147" t="s">
        <v>736</v>
      </c>
      <c r="AC17" s="148">
        <f t="shared" si="5"/>
        <v>15</v>
      </c>
      <c r="AD17" s="32">
        <f t="shared" si="21"/>
        <v>24300</v>
      </c>
      <c r="AE17" s="32">
        <f t="shared" ca="1" si="22"/>
        <v>0</v>
      </c>
      <c r="AF17" s="32">
        <f t="shared" ca="1" si="23"/>
        <v>7569</v>
      </c>
      <c r="AG17" s="147"/>
      <c r="AH17" s="148">
        <f t="shared" si="6"/>
        <v>23</v>
      </c>
      <c r="AI17" s="32">
        <f t="shared" si="24"/>
        <v>120752</v>
      </c>
      <c r="AJ17" s="32">
        <f t="shared" ca="1" si="25"/>
        <v>0</v>
      </c>
      <c r="AK17" s="32">
        <f t="shared" ca="1" si="26"/>
        <v>15448</v>
      </c>
      <c r="AL17" s="147"/>
      <c r="AM17" s="148">
        <f t="shared" si="7"/>
        <v>5</v>
      </c>
      <c r="AN17" s="32">
        <f t="shared" si="27"/>
        <v>39932</v>
      </c>
      <c r="AO17" s="32">
        <f t="shared" ca="1" si="28"/>
        <v>0</v>
      </c>
      <c r="AP17" s="32">
        <f t="shared" ca="1" si="29"/>
        <v>16575</v>
      </c>
      <c r="AQ17" s="147"/>
      <c r="AR17" s="156"/>
    </row>
    <row r="18" spans="1:44" x14ac:dyDescent="0.15">
      <c r="A18" s="134"/>
      <c r="B18" s="144" t="s">
        <v>745</v>
      </c>
      <c r="C18" s="154">
        <f t="shared" si="32"/>
        <v>305</v>
      </c>
      <c r="D18" s="142">
        <f t="shared" si="0"/>
        <v>11</v>
      </c>
      <c r="E18" s="32">
        <f t="shared" si="8"/>
        <v>5465</v>
      </c>
      <c r="F18" s="32">
        <f t="shared" ca="1" si="30"/>
        <v>660</v>
      </c>
      <c r="G18" s="32">
        <f t="shared" ca="1" si="31"/>
        <v>1331</v>
      </c>
      <c r="H18" s="147" t="s">
        <v>736</v>
      </c>
      <c r="I18" s="148">
        <f t="shared" si="1"/>
        <v>12</v>
      </c>
      <c r="J18" s="32">
        <f t="shared" si="9"/>
        <v>5330</v>
      </c>
      <c r="K18" s="32">
        <f t="shared" ca="1" si="10"/>
        <v>264</v>
      </c>
      <c r="L18" s="32">
        <f t="shared" ca="1" si="11"/>
        <v>1984</v>
      </c>
      <c r="M18" s="147" t="s">
        <v>736</v>
      </c>
      <c r="N18" s="148">
        <f t="shared" si="2"/>
        <v>11</v>
      </c>
      <c r="O18" s="32">
        <f t="shared" si="12"/>
        <v>5424</v>
      </c>
      <c r="P18" s="32">
        <f t="shared" ca="1" si="13"/>
        <v>1229</v>
      </c>
      <c r="Q18" s="32">
        <f t="shared" ca="1" si="14"/>
        <v>665</v>
      </c>
      <c r="R18" s="147" t="s">
        <v>736</v>
      </c>
      <c r="S18" s="148">
        <f t="shared" si="3"/>
        <v>6</v>
      </c>
      <c r="T18" s="32">
        <f t="shared" si="15"/>
        <v>3554</v>
      </c>
      <c r="U18" s="32">
        <f t="shared" ca="1" si="16"/>
        <v>896</v>
      </c>
      <c r="V18" s="32">
        <f t="shared" ca="1" si="17"/>
        <v>475</v>
      </c>
      <c r="W18" s="147" t="s">
        <v>736</v>
      </c>
      <c r="X18" s="148">
        <f t="shared" si="4"/>
        <v>10</v>
      </c>
      <c r="Y18" s="32">
        <f t="shared" si="18"/>
        <v>4718</v>
      </c>
      <c r="Z18" s="32">
        <f t="shared" ca="1" si="19"/>
        <v>1155</v>
      </c>
      <c r="AA18" s="32">
        <f t="shared" ca="1" si="20"/>
        <v>1144</v>
      </c>
      <c r="AB18" s="147" t="s">
        <v>736</v>
      </c>
      <c r="AC18" s="148">
        <f t="shared" si="5"/>
        <v>15</v>
      </c>
      <c r="AD18" s="32">
        <f t="shared" si="21"/>
        <v>24300</v>
      </c>
      <c r="AE18" s="32">
        <f t="shared" ca="1" si="22"/>
        <v>0</v>
      </c>
      <c r="AF18" s="32">
        <f t="shared" ca="1" si="23"/>
        <v>7569</v>
      </c>
      <c r="AG18" s="147"/>
      <c r="AH18" s="148">
        <f t="shared" si="6"/>
        <v>23</v>
      </c>
      <c r="AI18" s="32">
        <f t="shared" si="24"/>
        <v>120752</v>
      </c>
      <c r="AJ18" s="32">
        <f t="shared" ca="1" si="25"/>
        <v>0</v>
      </c>
      <c r="AK18" s="32">
        <f t="shared" ca="1" si="26"/>
        <v>15448</v>
      </c>
      <c r="AL18" s="147"/>
      <c r="AM18" s="148">
        <f t="shared" si="7"/>
        <v>5</v>
      </c>
      <c r="AN18" s="32">
        <f t="shared" si="27"/>
        <v>39932</v>
      </c>
      <c r="AO18" s="32">
        <f t="shared" ca="1" si="28"/>
        <v>0</v>
      </c>
      <c r="AP18" s="32">
        <f t="shared" ca="1" si="29"/>
        <v>16575</v>
      </c>
      <c r="AQ18" s="147"/>
      <c r="AR18" s="156"/>
    </row>
    <row r="19" spans="1:44" x14ac:dyDescent="0.15">
      <c r="A19" s="134"/>
      <c r="B19" s="144" t="s">
        <v>273</v>
      </c>
      <c r="C19" s="154">
        <f t="shared" si="32"/>
        <v>110</v>
      </c>
      <c r="D19" s="142">
        <f t="shared" si="0"/>
        <v>11</v>
      </c>
      <c r="E19" s="32">
        <f t="shared" si="8"/>
        <v>5575</v>
      </c>
      <c r="F19" s="32">
        <f t="shared" ca="1" si="30"/>
        <v>770</v>
      </c>
      <c r="G19" s="32">
        <f t="shared" ca="1" si="31"/>
        <v>1221</v>
      </c>
      <c r="H19" s="147" t="s">
        <v>736</v>
      </c>
      <c r="I19" s="148">
        <f t="shared" si="1"/>
        <v>12</v>
      </c>
      <c r="J19" s="32">
        <f t="shared" si="9"/>
        <v>5440</v>
      </c>
      <c r="K19" s="32">
        <f t="shared" ca="1" si="10"/>
        <v>374</v>
      </c>
      <c r="L19" s="32">
        <f t="shared" ca="1" si="11"/>
        <v>1874</v>
      </c>
      <c r="M19" s="147" t="s">
        <v>736</v>
      </c>
      <c r="N19" s="148">
        <f t="shared" si="2"/>
        <v>11</v>
      </c>
      <c r="O19" s="32">
        <f t="shared" si="12"/>
        <v>5534</v>
      </c>
      <c r="P19" s="32">
        <f t="shared" ca="1" si="13"/>
        <v>1339</v>
      </c>
      <c r="Q19" s="32">
        <f t="shared" ca="1" si="14"/>
        <v>555</v>
      </c>
      <c r="R19" s="147" t="s">
        <v>736</v>
      </c>
      <c r="S19" s="148">
        <f t="shared" si="3"/>
        <v>6</v>
      </c>
      <c r="T19" s="32">
        <f t="shared" si="15"/>
        <v>3664</v>
      </c>
      <c r="U19" s="32">
        <f t="shared" ca="1" si="16"/>
        <v>1006</v>
      </c>
      <c r="V19" s="32">
        <f t="shared" ca="1" si="17"/>
        <v>365</v>
      </c>
      <c r="W19" s="147" t="s">
        <v>736</v>
      </c>
      <c r="X19" s="148">
        <f t="shared" si="4"/>
        <v>10</v>
      </c>
      <c r="Y19" s="32">
        <f t="shared" si="18"/>
        <v>4828</v>
      </c>
      <c r="Z19" s="32">
        <f t="shared" ca="1" si="19"/>
        <v>1265</v>
      </c>
      <c r="AA19" s="32">
        <f t="shared" ca="1" si="20"/>
        <v>1034</v>
      </c>
      <c r="AB19" s="147" t="s">
        <v>736</v>
      </c>
      <c r="AC19" s="148">
        <f t="shared" si="5"/>
        <v>15</v>
      </c>
      <c r="AD19" s="32">
        <f t="shared" si="21"/>
        <v>24300</v>
      </c>
      <c r="AE19" s="32">
        <f t="shared" ca="1" si="22"/>
        <v>0</v>
      </c>
      <c r="AF19" s="32">
        <f t="shared" ca="1" si="23"/>
        <v>7569</v>
      </c>
      <c r="AG19" s="147"/>
      <c r="AH19" s="148">
        <f t="shared" si="6"/>
        <v>23</v>
      </c>
      <c r="AI19" s="32">
        <f t="shared" si="24"/>
        <v>120752</v>
      </c>
      <c r="AJ19" s="32">
        <f t="shared" ca="1" si="25"/>
        <v>0</v>
      </c>
      <c r="AK19" s="32">
        <f t="shared" ca="1" si="26"/>
        <v>15448</v>
      </c>
      <c r="AL19" s="147"/>
      <c r="AM19" s="148">
        <f t="shared" si="7"/>
        <v>5</v>
      </c>
      <c r="AN19" s="32">
        <f t="shared" si="27"/>
        <v>39932</v>
      </c>
      <c r="AO19" s="32">
        <f t="shared" ca="1" si="28"/>
        <v>0</v>
      </c>
      <c r="AP19" s="32">
        <f t="shared" ca="1" si="29"/>
        <v>16575</v>
      </c>
      <c r="AQ19" s="147"/>
      <c r="AR19" s="156"/>
    </row>
    <row r="20" spans="1:44" x14ac:dyDescent="0.15">
      <c r="A20" s="134"/>
      <c r="B20" s="144" t="s">
        <v>273</v>
      </c>
      <c r="C20" s="154">
        <f t="shared" si="32"/>
        <v>110</v>
      </c>
      <c r="D20" s="142">
        <f t="shared" si="0"/>
        <v>11</v>
      </c>
      <c r="E20" s="32">
        <f t="shared" si="8"/>
        <v>5685</v>
      </c>
      <c r="F20" s="32">
        <f t="shared" ca="1" si="30"/>
        <v>880</v>
      </c>
      <c r="G20" s="32">
        <f t="shared" ca="1" si="31"/>
        <v>1111</v>
      </c>
      <c r="H20" s="147" t="s">
        <v>736</v>
      </c>
      <c r="I20" s="148">
        <f t="shared" si="1"/>
        <v>12</v>
      </c>
      <c r="J20" s="32">
        <f t="shared" si="9"/>
        <v>5550</v>
      </c>
      <c r="K20" s="32">
        <f t="shared" ca="1" si="10"/>
        <v>484</v>
      </c>
      <c r="L20" s="32">
        <f t="shared" ca="1" si="11"/>
        <v>1764</v>
      </c>
      <c r="M20" s="147" t="s">
        <v>736</v>
      </c>
      <c r="N20" s="148">
        <f t="shared" si="2"/>
        <v>11</v>
      </c>
      <c r="O20" s="32">
        <f t="shared" si="12"/>
        <v>5644</v>
      </c>
      <c r="P20" s="32">
        <f t="shared" ca="1" si="13"/>
        <v>1449</v>
      </c>
      <c r="Q20" s="32">
        <f t="shared" ca="1" si="14"/>
        <v>445</v>
      </c>
      <c r="R20" s="147" t="s">
        <v>736</v>
      </c>
      <c r="S20" s="148">
        <f t="shared" si="3"/>
        <v>6</v>
      </c>
      <c r="T20" s="32">
        <f t="shared" si="15"/>
        <v>3774</v>
      </c>
      <c r="U20" s="32">
        <f t="shared" ca="1" si="16"/>
        <v>1116</v>
      </c>
      <c r="V20" s="32">
        <f t="shared" ca="1" si="17"/>
        <v>255</v>
      </c>
      <c r="W20" s="147" t="s">
        <v>736</v>
      </c>
      <c r="X20" s="148">
        <f t="shared" si="4"/>
        <v>10</v>
      </c>
      <c r="Y20" s="32">
        <f t="shared" si="18"/>
        <v>4938</v>
      </c>
      <c r="Z20" s="32">
        <f t="shared" ca="1" si="19"/>
        <v>1375</v>
      </c>
      <c r="AA20" s="32">
        <f t="shared" ca="1" si="20"/>
        <v>924</v>
      </c>
      <c r="AB20" s="147" t="s">
        <v>736</v>
      </c>
      <c r="AC20" s="148">
        <f t="shared" si="5"/>
        <v>15</v>
      </c>
      <c r="AD20" s="32">
        <f t="shared" si="21"/>
        <v>24300</v>
      </c>
      <c r="AE20" s="32">
        <f t="shared" ca="1" si="22"/>
        <v>0</v>
      </c>
      <c r="AF20" s="32">
        <f t="shared" ca="1" si="23"/>
        <v>7569</v>
      </c>
      <c r="AG20" s="147"/>
      <c r="AH20" s="148">
        <f t="shared" si="6"/>
        <v>23</v>
      </c>
      <c r="AI20" s="32">
        <f t="shared" si="24"/>
        <v>120752</v>
      </c>
      <c r="AJ20" s="32">
        <f t="shared" ca="1" si="25"/>
        <v>0</v>
      </c>
      <c r="AK20" s="32">
        <f t="shared" ca="1" si="26"/>
        <v>15448</v>
      </c>
      <c r="AL20" s="147"/>
      <c r="AM20" s="148">
        <f t="shared" si="7"/>
        <v>5</v>
      </c>
      <c r="AN20" s="32">
        <f t="shared" si="27"/>
        <v>39932</v>
      </c>
      <c r="AO20" s="32">
        <f t="shared" ca="1" si="28"/>
        <v>0</v>
      </c>
      <c r="AP20" s="32">
        <f t="shared" ca="1" si="29"/>
        <v>16575</v>
      </c>
      <c r="AQ20" s="147"/>
      <c r="AR20" s="156"/>
    </row>
    <row r="21" spans="1:44" x14ac:dyDescent="0.15">
      <c r="A21" s="134"/>
      <c r="B21" s="144" t="s">
        <v>758</v>
      </c>
      <c r="C21" s="154">
        <f t="shared" si="32"/>
        <v>1000</v>
      </c>
      <c r="D21" s="142">
        <f t="shared" si="0"/>
        <v>11</v>
      </c>
      <c r="E21" s="32">
        <f t="shared" si="8"/>
        <v>6685</v>
      </c>
      <c r="F21" s="32">
        <f t="shared" ca="1" si="30"/>
        <v>1880</v>
      </c>
      <c r="G21" s="32">
        <f t="shared" ca="1" si="31"/>
        <v>111</v>
      </c>
      <c r="H21" s="147" t="s">
        <v>736</v>
      </c>
      <c r="I21" s="148">
        <f t="shared" si="1"/>
        <v>12</v>
      </c>
      <c r="J21" s="32">
        <f t="shared" si="9"/>
        <v>6550</v>
      </c>
      <c r="K21" s="32">
        <f t="shared" ca="1" si="10"/>
        <v>1484</v>
      </c>
      <c r="L21" s="32">
        <f t="shared" ca="1" si="11"/>
        <v>764</v>
      </c>
      <c r="M21" s="147" t="s">
        <v>736</v>
      </c>
      <c r="N21" s="148">
        <f t="shared" si="2"/>
        <v>12</v>
      </c>
      <c r="O21" s="32">
        <f t="shared" si="12"/>
        <v>6644</v>
      </c>
      <c r="P21" s="32">
        <f t="shared" ca="1" si="13"/>
        <v>555</v>
      </c>
      <c r="Q21" s="32">
        <f t="shared" ca="1" si="14"/>
        <v>2167</v>
      </c>
      <c r="R21" s="147" t="s">
        <v>736</v>
      </c>
      <c r="S21" s="148">
        <f t="shared" si="3"/>
        <v>7</v>
      </c>
      <c r="T21" s="32">
        <f t="shared" si="15"/>
        <v>4774</v>
      </c>
      <c r="U21" s="32">
        <f t="shared" ca="1" si="16"/>
        <v>745</v>
      </c>
      <c r="V21" s="32">
        <f t="shared" ca="1" si="17"/>
        <v>883</v>
      </c>
      <c r="W21" s="147" t="s">
        <v>736</v>
      </c>
      <c r="X21" s="148">
        <f t="shared" si="4"/>
        <v>11</v>
      </c>
      <c r="Y21" s="32">
        <f t="shared" si="18"/>
        <v>5938</v>
      </c>
      <c r="Z21" s="32">
        <f t="shared" ca="1" si="19"/>
        <v>76</v>
      </c>
      <c r="AA21" s="32">
        <f t="shared" ca="1" si="20"/>
        <v>2725</v>
      </c>
      <c r="AB21" s="147" t="s">
        <v>736</v>
      </c>
      <c r="AC21" s="148">
        <f t="shared" si="5"/>
        <v>15</v>
      </c>
      <c r="AD21" s="32">
        <f t="shared" si="21"/>
        <v>24300</v>
      </c>
      <c r="AE21" s="32">
        <f t="shared" ca="1" si="22"/>
        <v>0</v>
      </c>
      <c r="AF21" s="32">
        <f t="shared" ca="1" si="23"/>
        <v>7569</v>
      </c>
      <c r="AG21" s="147"/>
      <c r="AH21" s="148">
        <f t="shared" si="6"/>
        <v>23</v>
      </c>
      <c r="AI21" s="32">
        <f t="shared" si="24"/>
        <v>120752</v>
      </c>
      <c r="AJ21" s="32">
        <f t="shared" ca="1" si="25"/>
        <v>0</v>
      </c>
      <c r="AK21" s="32">
        <f t="shared" ca="1" si="26"/>
        <v>15448</v>
      </c>
      <c r="AL21" s="147"/>
      <c r="AM21" s="148">
        <f t="shared" si="7"/>
        <v>5</v>
      </c>
      <c r="AN21" s="32">
        <f t="shared" si="27"/>
        <v>39932</v>
      </c>
      <c r="AO21" s="32">
        <f t="shared" ca="1" si="28"/>
        <v>0</v>
      </c>
      <c r="AP21" s="32">
        <f t="shared" ca="1" si="29"/>
        <v>16575</v>
      </c>
      <c r="AQ21" s="147"/>
      <c r="AR21" s="156"/>
    </row>
    <row r="22" spans="1:44" x14ac:dyDescent="0.15">
      <c r="A22" s="134"/>
      <c r="B22" s="144" t="s">
        <v>746</v>
      </c>
      <c r="C22" s="154">
        <f t="shared" si="32"/>
        <v>2300</v>
      </c>
      <c r="D22" s="142">
        <f t="shared" si="0"/>
        <v>12</v>
      </c>
      <c r="E22" s="32">
        <f t="shared" si="8"/>
        <v>8985</v>
      </c>
      <c r="F22" s="32">
        <f t="shared" ca="1" si="30"/>
        <v>2189</v>
      </c>
      <c r="G22" s="32">
        <f t="shared" ca="1" si="31"/>
        <v>424</v>
      </c>
      <c r="H22" s="147" t="s">
        <v>736</v>
      </c>
      <c r="I22" s="148">
        <f t="shared" si="1"/>
        <v>13</v>
      </c>
      <c r="J22" s="32">
        <f t="shared" si="9"/>
        <v>8850</v>
      </c>
      <c r="K22" s="32">
        <f t="shared" ca="1" si="10"/>
        <v>1536</v>
      </c>
      <c r="L22" s="32">
        <f t="shared" ca="1" si="11"/>
        <v>1695</v>
      </c>
      <c r="M22" s="147" t="s">
        <v>736</v>
      </c>
      <c r="N22" s="148">
        <f t="shared" si="2"/>
        <v>12</v>
      </c>
      <c r="O22" s="32">
        <f t="shared" si="12"/>
        <v>6644</v>
      </c>
      <c r="P22" s="32">
        <f t="shared" ca="1" si="13"/>
        <v>555</v>
      </c>
      <c r="Q22" s="32">
        <f t="shared" ca="1" si="14"/>
        <v>2167</v>
      </c>
      <c r="R22" s="147"/>
      <c r="S22" s="148">
        <f t="shared" si="3"/>
        <v>8</v>
      </c>
      <c r="T22" s="32">
        <f t="shared" si="15"/>
        <v>7074</v>
      </c>
      <c r="U22" s="32">
        <f t="shared" ca="1" si="16"/>
        <v>1417</v>
      </c>
      <c r="V22" s="32">
        <f t="shared" ca="1" si="17"/>
        <v>516</v>
      </c>
      <c r="W22" s="147" t="s">
        <v>736</v>
      </c>
      <c r="X22" s="148">
        <f t="shared" si="4"/>
        <v>11</v>
      </c>
      <c r="Y22" s="32">
        <f t="shared" si="18"/>
        <v>5938</v>
      </c>
      <c r="Z22" s="32">
        <f t="shared" ca="1" si="19"/>
        <v>76</v>
      </c>
      <c r="AA22" s="32">
        <f t="shared" ca="1" si="20"/>
        <v>2725</v>
      </c>
      <c r="AB22" s="147"/>
      <c r="AC22" s="148">
        <f t="shared" si="5"/>
        <v>15</v>
      </c>
      <c r="AD22" s="32">
        <f t="shared" si="21"/>
        <v>24300</v>
      </c>
      <c r="AE22" s="32">
        <f t="shared" ca="1" si="22"/>
        <v>0</v>
      </c>
      <c r="AF22" s="32">
        <f t="shared" ca="1" si="23"/>
        <v>7569</v>
      </c>
      <c r="AG22" s="147"/>
      <c r="AH22" s="148">
        <f t="shared" si="6"/>
        <v>23</v>
      </c>
      <c r="AI22" s="32">
        <f t="shared" si="24"/>
        <v>120752</v>
      </c>
      <c r="AJ22" s="32">
        <f t="shared" ca="1" si="25"/>
        <v>0</v>
      </c>
      <c r="AK22" s="32">
        <f t="shared" ca="1" si="26"/>
        <v>15448</v>
      </c>
      <c r="AL22" s="147"/>
      <c r="AM22" s="148">
        <f t="shared" si="7"/>
        <v>5</v>
      </c>
      <c r="AN22" s="32">
        <f t="shared" si="27"/>
        <v>39932</v>
      </c>
      <c r="AO22" s="32">
        <f t="shared" ca="1" si="28"/>
        <v>0</v>
      </c>
      <c r="AP22" s="32">
        <f t="shared" ca="1" si="29"/>
        <v>16575</v>
      </c>
      <c r="AQ22" s="147"/>
      <c r="AR22" s="156"/>
    </row>
    <row r="23" spans="1:44" x14ac:dyDescent="0.15">
      <c r="A23" s="134"/>
      <c r="B23" s="144" t="s">
        <v>747</v>
      </c>
      <c r="C23" s="154">
        <v>2400</v>
      </c>
      <c r="D23" s="142">
        <f t="shared" si="0"/>
        <v>13</v>
      </c>
      <c r="E23" s="32">
        <f t="shared" si="8"/>
        <v>11385</v>
      </c>
      <c r="F23" s="32">
        <f t="shared" ca="1" si="30"/>
        <v>1976</v>
      </c>
      <c r="G23" s="32">
        <f t="shared" ca="1" si="31"/>
        <v>1453</v>
      </c>
      <c r="H23" s="147" t="s">
        <v>736</v>
      </c>
      <c r="I23" s="148">
        <f t="shared" si="1"/>
        <v>14</v>
      </c>
      <c r="J23" s="32">
        <f t="shared" si="9"/>
        <v>11250</v>
      </c>
      <c r="K23" s="32">
        <f t="shared" ca="1" si="10"/>
        <v>705</v>
      </c>
      <c r="L23" s="32">
        <f t="shared" ca="1" si="11"/>
        <v>3939</v>
      </c>
      <c r="M23" s="147" t="s">
        <v>736</v>
      </c>
      <c r="N23" s="148">
        <f t="shared" si="2"/>
        <v>13</v>
      </c>
      <c r="O23" s="32">
        <f t="shared" si="12"/>
        <v>9044</v>
      </c>
      <c r="P23" s="32">
        <f t="shared" ca="1" si="13"/>
        <v>233</v>
      </c>
      <c r="Q23" s="32">
        <f t="shared" ca="1" si="14"/>
        <v>3679</v>
      </c>
      <c r="R23" s="147" t="s">
        <v>736</v>
      </c>
      <c r="S23" s="148">
        <f t="shared" si="3"/>
        <v>9</v>
      </c>
      <c r="T23" s="32">
        <f t="shared" si="15"/>
        <v>9474</v>
      </c>
      <c r="U23" s="32">
        <f t="shared" ca="1" si="16"/>
        <v>1884</v>
      </c>
      <c r="V23" s="32">
        <f t="shared" ca="1" si="17"/>
        <v>411</v>
      </c>
      <c r="W23" s="147" t="s">
        <v>736</v>
      </c>
      <c r="X23" s="148">
        <f t="shared" si="4"/>
        <v>11</v>
      </c>
      <c r="Y23" s="32">
        <f t="shared" si="18"/>
        <v>8338</v>
      </c>
      <c r="Z23" s="32">
        <f t="shared" ca="1" si="19"/>
        <v>2476</v>
      </c>
      <c r="AA23" s="32">
        <f t="shared" ca="1" si="20"/>
        <v>325</v>
      </c>
      <c r="AB23" s="147" t="s">
        <v>736</v>
      </c>
      <c r="AC23" s="148">
        <f t="shared" si="5"/>
        <v>15</v>
      </c>
      <c r="AD23" s="32">
        <f t="shared" si="21"/>
        <v>26700</v>
      </c>
      <c r="AE23" s="32">
        <f t="shared" ca="1" si="22"/>
        <v>2400</v>
      </c>
      <c r="AF23" s="32">
        <f t="shared" ca="1" si="23"/>
        <v>5169</v>
      </c>
      <c r="AG23" s="147" t="s">
        <v>736</v>
      </c>
      <c r="AH23" s="148">
        <f t="shared" si="6"/>
        <v>23</v>
      </c>
      <c r="AI23" s="32">
        <f t="shared" si="24"/>
        <v>120752</v>
      </c>
      <c r="AJ23" s="32">
        <f t="shared" ca="1" si="25"/>
        <v>0</v>
      </c>
      <c r="AK23" s="32">
        <f t="shared" ca="1" si="26"/>
        <v>15448</v>
      </c>
      <c r="AL23" s="147"/>
      <c r="AM23" s="148">
        <f t="shared" si="7"/>
        <v>5</v>
      </c>
      <c r="AN23" s="32">
        <f t="shared" si="27"/>
        <v>39932</v>
      </c>
      <c r="AO23" s="32">
        <f t="shared" ca="1" si="28"/>
        <v>0</v>
      </c>
      <c r="AP23" s="32">
        <f t="shared" ca="1" si="29"/>
        <v>16575</v>
      </c>
      <c r="AQ23" s="147"/>
      <c r="AR23" s="156"/>
    </row>
    <row r="24" spans="1:44" x14ac:dyDescent="0.15">
      <c r="A24" s="134"/>
      <c r="B24" s="144" t="s">
        <v>422</v>
      </c>
      <c r="C24" s="154">
        <f t="shared" ref="C24:C41" si="33">IFERROR(VLOOKUP($B24,ボス,8,0),"")</f>
        <v>310</v>
      </c>
      <c r="D24" s="142">
        <f t="shared" si="0"/>
        <v>13</v>
      </c>
      <c r="E24" s="32">
        <f t="shared" si="8"/>
        <v>11695</v>
      </c>
      <c r="F24" s="32">
        <f t="shared" ca="1" si="30"/>
        <v>2286</v>
      </c>
      <c r="G24" s="32">
        <f t="shared" ca="1" si="31"/>
        <v>1143</v>
      </c>
      <c r="H24" s="147" t="s">
        <v>736</v>
      </c>
      <c r="I24" s="148">
        <f t="shared" si="1"/>
        <v>14</v>
      </c>
      <c r="J24" s="32">
        <f t="shared" si="9"/>
        <v>11560</v>
      </c>
      <c r="K24" s="32">
        <f t="shared" ca="1" si="10"/>
        <v>1015</v>
      </c>
      <c r="L24" s="32">
        <f t="shared" ca="1" si="11"/>
        <v>3629</v>
      </c>
      <c r="M24" s="147" t="s">
        <v>736</v>
      </c>
      <c r="N24" s="148">
        <f t="shared" si="2"/>
        <v>13</v>
      </c>
      <c r="O24" s="32">
        <f t="shared" si="12"/>
        <v>9354</v>
      </c>
      <c r="P24" s="32">
        <f t="shared" ca="1" si="13"/>
        <v>543</v>
      </c>
      <c r="Q24" s="32">
        <f t="shared" ca="1" si="14"/>
        <v>3369</v>
      </c>
      <c r="R24" s="147" t="s">
        <v>736</v>
      </c>
      <c r="S24" s="148">
        <f t="shared" si="3"/>
        <v>9</v>
      </c>
      <c r="T24" s="32">
        <f t="shared" si="15"/>
        <v>9784</v>
      </c>
      <c r="U24" s="32">
        <f t="shared" ca="1" si="16"/>
        <v>2194</v>
      </c>
      <c r="V24" s="32">
        <f t="shared" ca="1" si="17"/>
        <v>101</v>
      </c>
      <c r="W24" s="147" t="s">
        <v>736</v>
      </c>
      <c r="X24" s="148">
        <f t="shared" si="4"/>
        <v>11</v>
      </c>
      <c r="Y24" s="32">
        <f t="shared" si="18"/>
        <v>8648</v>
      </c>
      <c r="Z24" s="32">
        <f t="shared" ca="1" si="19"/>
        <v>2786</v>
      </c>
      <c r="AA24" s="32">
        <f t="shared" ca="1" si="20"/>
        <v>15</v>
      </c>
      <c r="AB24" s="147" t="s">
        <v>736</v>
      </c>
      <c r="AC24" s="148">
        <f t="shared" si="5"/>
        <v>15</v>
      </c>
      <c r="AD24" s="32">
        <f t="shared" si="21"/>
        <v>27010</v>
      </c>
      <c r="AE24" s="32">
        <f t="shared" ca="1" si="22"/>
        <v>2710</v>
      </c>
      <c r="AF24" s="32">
        <f t="shared" ca="1" si="23"/>
        <v>4859</v>
      </c>
      <c r="AG24" s="147" t="s">
        <v>736</v>
      </c>
      <c r="AH24" s="148">
        <f t="shared" si="6"/>
        <v>23</v>
      </c>
      <c r="AI24" s="32">
        <f t="shared" si="24"/>
        <v>120752</v>
      </c>
      <c r="AJ24" s="32">
        <f t="shared" ca="1" si="25"/>
        <v>0</v>
      </c>
      <c r="AK24" s="32">
        <f t="shared" ca="1" si="26"/>
        <v>15448</v>
      </c>
      <c r="AL24" s="147"/>
      <c r="AM24" s="148">
        <f t="shared" si="7"/>
        <v>5</v>
      </c>
      <c r="AN24" s="32">
        <f t="shared" si="27"/>
        <v>39932</v>
      </c>
      <c r="AO24" s="32">
        <f t="shared" ca="1" si="28"/>
        <v>0</v>
      </c>
      <c r="AP24" s="32">
        <f t="shared" ca="1" si="29"/>
        <v>16575</v>
      </c>
      <c r="AQ24" s="147"/>
      <c r="AR24" s="156"/>
    </row>
    <row r="25" spans="1:44" x14ac:dyDescent="0.15">
      <c r="A25" s="134"/>
      <c r="B25" s="144" t="s">
        <v>278</v>
      </c>
      <c r="C25" s="154">
        <f t="shared" si="33"/>
        <v>120</v>
      </c>
      <c r="D25" s="142">
        <f t="shared" si="0"/>
        <v>13</v>
      </c>
      <c r="E25" s="32">
        <f t="shared" si="8"/>
        <v>11815</v>
      </c>
      <c r="F25" s="32">
        <f t="shared" ca="1" si="30"/>
        <v>2406</v>
      </c>
      <c r="G25" s="32">
        <f t="shared" ca="1" si="31"/>
        <v>1023</v>
      </c>
      <c r="H25" s="147" t="s">
        <v>736</v>
      </c>
      <c r="I25" s="148">
        <f t="shared" si="1"/>
        <v>14</v>
      </c>
      <c r="J25" s="32">
        <f t="shared" si="9"/>
        <v>11680</v>
      </c>
      <c r="K25" s="32">
        <f t="shared" ca="1" si="10"/>
        <v>1135</v>
      </c>
      <c r="L25" s="32">
        <f t="shared" ca="1" si="11"/>
        <v>3509</v>
      </c>
      <c r="M25" s="147" t="s">
        <v>736</v>
      </c>
      <c r="N25" s="148">
        <f t="shared" si="2"/>
        <v>13</v>
      </c>
      <c r="O25" s="32">
        <f t="shared" si="12"/>
        <v>9474</v>
      </c>
      <c r="P25" s="32">
        <f t="shared" ca="1" si="13"/>
        <v>663</v>
      </c>
      <c r="Q25" s="32">
        <f t="shared" ca="1" si="14"/>
        <v>3249</v>
      </c>
      <c r="R25" s="147" t="s">
        <v>736</v>
      </c>
      <c r="S25" s="148">
        <f t="shared" si="3"/>
        <v>10</v>
      </c>
      <c r="T25" s="32">
        <f t="shared" si="15"/>
        <v>9904</v>
      </c>
      <c r="U25" s="32">
        <f t="shared" ca="1" si="16"/>
        <v>19</v>
      </c>
      <c r="V25" s="32">
        <f t="shared" ca="1" si="17"/>
        <v>2921</v>
      </c>
      <c r="W25" s="147" t="s">
        <v>736</v>
      </c>
      <c r="X25" s="148">
        <f t="shared" si="4"/>
        <v>12</v>
      </c>
      <c r="Y25" s="32">
        <f t="shared" si="18"/>
        <v>8768</v>
      </c>
      <c r="Z25" s="32">
        <f t="shared" ca="1" si="19"/>
        <v>105</v>
      </c>
      <c r="AA25" s="32">
        <f t="shared" ca="1" si="20"/>
        <v>3308</v>
      </c>
      <c r="AB25" s="147" t="s">
        <v>736</v>
      </c>
      <c r="AC25" s="148">
        <f t="shared" si="5"/>
        <v>15</v>
      </c>
      <c r="AD25" s="32">
        <f t="shared" si="21"/>
        <v>27130</v>
      </c>
      <c r="AE25" s="32">
        <f t="shared" ca="1" si="22"/>
        <v>2830</v>
      </c>
      <c r="AF25" s="32">
        <f t="shared" ca="1" si="23"/>
        <v>4739</v>
      </c>
      <c r="AG25" s="147" t="s">
        <v>736</v>
      </c>
      <c r="AH25" s="148">
        <f t="shared" si="6"/>
        <v>23</v>
      </c>
      <c r="AI25" s="32">
        <f t="shared" si="24"/>
        <v>120752</v>
      </c>
      <c r="AJ25" s="32">
        <f t="shared" ca="1" si="25"/>
        <v>0</v>
      </c>
      <c r="AK25" s="32">
        <f t="shared" ca="1" si="26"/>
        <v>15448</v>
      </c>
      <c r="AL25" s="147"/>
      <c r="AM25" s="148">
        <f t="shared" si="7"/>
        <v>5</v>
      </c>
      <c r="AN25" s="32">
        <f t="shared" si="27"/>
        <v>39932</v>
      </c>
      <c r="AO25" s="32">
        <f t="shared" ca="1" si="28"/>
        <v>0</v>
      </c>
      <c r="AP25" s="32">
        <f t="shared" ca="1" si="29"/>
        <v>16575</v>
      </c>
      <c r="AQ25" s="147"/>
      <c r="AR25" s="156"/>
    </row>
    <row r="26" spans="1:44" x14ac:dyDescent="0.15">
      <c r="A26" s="134"/>
      <c r="B26" s="144" t="s">
        <v>748</v>
      </c>
      <c r="C26" s="154">
        <f t="shared" si="33"/>
        <v>110</v>
      </c>
      <c r="D26" s="142">
        <f t="shared" si="0"/>
        <v>13</v>
      </c>
      <c r="E26" s="32">
        <f t="shared" si="8"/>
        <v>11925</v>
      </c>
      <c r="F26" s="32">
        <f t="shared" ca="1" si="30"/>
        <v>2516</v>
      </c>
      <c r="G26" s="32">
        <f t="shared" ca="1" si="31"/>
        <v>913</v>
      </c>
      <c r="H26" s="147" t="s">
        <v>736</v>
      </c>
      <c r="I26" s="148">
        <f t="shared" si="1"/>
        <v>14</v>
      </c>
      <c r="J26" s="32">
        <f t="shared" si="9"/>
        <v>11790</v>
      </c>
      <c r="K26" s="32">
        <f t="shared" ca="1" si="10"/>
        <v>1245</v>
      </c>
      <c r="L26" s="32">
        <f t="shared" ca="1" si="11"/>
        <v>3399</v>
      </c>
      <c r="M26" s="147" t="s">
        <v>736</v>
      </c>
      <c r="N26" s="148">
        <f t="shared" si="2"/>
        <v>13</v>
      </c>
      <c r="O26" s="32">
        <f t="shared" si="12"/>
        <v>9584</v>
      </c>
      <c r="P26" s="32">
        <f t="shared" ca="1" si="13"/>
        <v>773</v>
      </c>
      <c r="Q26" s="32">
        <f t="shared" ca="1" si="14"/>
        <v>3139</v>
      </c>
      <c r="R26" s="147" t="s">
        <v>736</v>
      </c>
      <c r="S26" s="148">
        <f t="shared" si="3"/>
        <v>10</v>
      </c>
      <c r="T26" s="32">
        <f t="shared" si="15"/>
        <v>10014</v>
      </c>
      <c r="U26" s="32">
        <f t="shared" ca="1" si="16"/>
        <v>129</v>
      </c>
      <c r="V26" s="32">
        <f t="shared" ca="1" si="17"/>
        <v>2811</v>
      </c>
      <c r="W26" s="147" t="s">
        <v>736</v>
      </c>
      <c r="X26" s="148">
        <f t="shared" si="4"/>
        <v>12</v>
      </c>
      <c r="Y26" s="32">
        <f t="shared" si="18"/>
        <v>8878</v>
      </c>
      <c r="Z26" s="32">
        <f t="shared" ca="1" si="19"/>
        <v>215</v>
      </c>
      <c r="AA26" s="32">
        <f t="shared" ca="1" si="20"/>
        <v>3198</v>
      </c>
      <c r="AB26" s="147" t="s">
        <v>736</v>
      </c>
      <c r="AC26" s="148">
        <f t="shared" si="5"/>
        <v>15</v>
      </c>
      <c r="AD26" s="32">
        <f t="shared" si="21"/>
        <v>27240</v>
      </c>
      <c r="AE26" s="32">
        <f t="shared" ca="1" si="22"/>
        <v>2940</v>
      </c>
      <c r="AF26" s="32">
        <f t="shared" ca="1" si="23"/>
        <v>4629</v>
      </c>
      <c r="AG26" s="147" t="s">
        <v>736</v>
      </c>
      <c r="AH26" s="148">
        <f t="shared" si="6"/>
        <v>23</v>
      </c>
      <c r="AI26" s="32">
        <f t="shared" si="24"/>
        <v>120752</v>
      </c>
      <c r="AJ26" s="32">
        <f t="shared" ca="1" si="25"/>
        <v>0</v>
      </c>
      <c r="AK26" s="32">
        <f t="shared" ca="1" si="26"/>
        <v>15448</v>
      </c>
      <c r="AL26" s="147"/>
      <c r="AM26" s="148">
        <f t="shared" si="7"/>
        <v>5</v>
      </c>
      <c r="AN26" s="32">
        <f t="shared" si="27"/>
        <v>39932</v>
      </c>
      <c r="AO26" s="32">
        <f t="shared" ca="1" si="28"/>
        <v>0</v>
      </c>
      <c r="AP26" s="32">
        <f t="shared" ca="1" si="29"/>
        <v>16575</v>
      </c>
      <c r="AQ26" s="147"/>
      <c r="AR26" s="156"/>
    </row>
    <row r="27" spans="1:44" x14ac:dyDescent="0.15">
      <c r="A27" s="134"/>
      <c r="B27" s="144" t="s">
        <v>749</v>
      </c>
      <c r="C27" s="154">
        <f t="shared" si="33"/>
        <v>450</v>
      </c>
      <c r="D27" s="142">
        <f t="shared" si="0"/>
        <v>13</v>
      </c>
      <c r="E27" s="32">
        <f t="shared" si="8"/>
        <v>12375</v>
      </c>
      <c r="F27" s="32">
        <f t="shared" ca="1" si="30"/>
        <v>2966</v>
      </c>
      <c r="G27" s="32">
        <f t="shared" ca="1" si="31"/>
        <v>463</v>
      </c>
      <c r="H27" s="147" t="s">
        <v>736</v>
      </c>
      <c r="I27" s="148">
        <f t="shared" si="1"/>
        <v>14</v>
      </c>
      <c r="J27" s="32">
        <f t="shared" si="9"/>
        <v>12240</v>
      </c>
      <c r="K27" s="32">
        <f t="shared" ca="1" si="10"/>
        <v>1695</v>
      </c>
      <c r="L27" s="32">
        <f t="shared" ca="1" si="11"/>
        <v>2949</v>
      </c>
      <c r="M27" s="147" t="s">
        <v>736</v>
      </c>
      <c r="N27" s="148">
        <f t="shared" si="2"/>
        <v>13</v>
      </c>
      <c r="O27" s="32">
        <f t="shared" si="12"/>
        <v>10034</v>
      </c>
      <c r="P27" s="32">
        <f t="shared" ca="1" si="13"/>
        <v>1223</v>
      </c>
      <c r="Q27" s="32">
        <f t="shared" ca="1" si="14"/>
        <v>2689</v>
      </c>
      <c r="R27" s="147" t="s">
        <v>736</v>
      </c>
      <c r="S27" s="148">
        <f t="shared" si="3"/>
        <v>10</v>
      </c>
      <c r="T27" s="32">
        <f t="shared" si="15"/>
        <v>10464</v>
      </c>
      <c r="U27" s="32">
        <f t="shared" ca="1" si="16"/>
        <v>579</v>
      </c>
      <c r="V27" s="32">
        <f t="shared" ca="1" si="17"/>
        <v>2361</v>
      </c>
      <c r="W27" s="147" t="s">
        <v>736</v>
      </c>
      <c r="X27" s="148">
        <f t="shared" si="4"/>
        <v>12</v>
      </c>
      <c r="Y27" s="32">
        <f t="shared" si="18"/>
        <v>9328</v>
      </c>
      <c r="Z27" s="32">
        <f t="shared" ca="1" si="19"/>
        <v>665</v>
      </c>
      <c r="AA27" s="32">
        <f t="shared" ca="1" si="20"/>
        <v>2748</v>
      </c>
      <c r="AB27" s="147" t="s">
        <v>736</v>
      </c>
      <c r="AC27" s="148">
        <f t="shared" si="5"/>
        <v>15</v>
      </c>
      <c r="AD27" s="32">
        <f t="shared" si="21"/>
        <v>27240</v>
      </c>
      <c r="AE27" s="32">
        <f t="shared" ca="1" si="22"/>
        <v>2940</v>
      </c>
      <c r="AF27" s="32">
        <f t="shared" ca="1" si="23"/>
        <v>4629</v>
      </c>
      <c r="AG27" s="147"/>
      <c r="AH27" s="148">
        <f t="shared" si="6"/>
        <v>23</v>
      </c>
      <c r="AI27" s="32">
        <f t="shared" si="24"/>
        <v>120752</v>
      </c>
      <c r="AJ27" s="32">
        <f t="shared" ca="1" si="25"/>
        <v>0</v>
      </c>
      <c r="AK27" s="32">
        <f t="shared" ca="1" si="26"/>
        <v>15448</v>
      </c>
      <c r="AL27" s="147"/>
      <c r="AM27" s="148">
        <f t="shared" si="7"/>
        <v>5</v>
      </c>
      <c r="AN27" s="32">
        <f t="shared" si="27"/>
        <v>39932</v>
      </c>
      <c r="AO27" s="32">
        <f t="shared" ca="1" si="28"/>
        <v>0</v>
      </c>
      <c r="AP27" s="32">
        <f t="shared" ca="1" si="29"/>
        <v>16575</v>
      </c>
      <c r="AQ27" s="147"/>
      <c r="AR27" s="156"/>
    </row>
    <row r="28" spans="1:44" x14ac:dyDescent="0.15">
      <c r="A28" s="134"/>
      <c r="B28" s="144" t="s">
        <v>282</v>
      </c>
      <c r="C28" s="154">
        <f t="shared" si="33"/>
        <v>160</v>
      </c>
      <c r="D28" s="142">
        <f t="shared" si="0"/>
        <v>13</v>
      </c>
      <c r="E28" s="32">
        <f t="shared" si="8"/>
        <v>12535</v>
      </c>
      <c r="F28" s="32">
        <f t="shared" ca="1" si="30"/>
        <v>3126</v>
      </c>
      <c r="G28" s="32">
        <f t="shared" ca="1" si="31"/>
        <v>303</v>
      </c>
      <c r="H28" s="147" t="s">
        <v>736</v>
      </c>
      <c r="I28" s="148">
        <f t="shared" si="1"/>
        <v>14</v>
      </c>
      <c r="J28" s="32">
        <f t="shared" si="9"/>
        <v>12400</v>
      </c>
      <c r="K28" s="32">
        <f t="shared" ca="1" si="10"/>
        <v>1855</v>
      </c>
      <c r="L28" s="32">
        <f t="shared" ca="1" si="11"/>
        <v>2789</v>
      </c>
      <c r="M28" s="147" t="s">
        <v>736</v>
      </c>
      <c r="N28" s="148">
        <f t="shared" si="2"/>
        <v>13</v>
      </c>
      <c r="O28" s="32">
        <f t="shared" si="12"/>
        <v>10194</v>
      </c>
      <c r="P28" s="32">
        <f t="shared" ca="1" si="13"/>
        <v>1383</v>
      </c>
      <c r="Q28" s="32">
        <f t="shared" ca="1" si="14"/>
        <v>2529</v>
      </c>
      <c r="R28" s="147" t="s">
        <v>736</v>
      </c>
      <c r="S28" s="148">
        <f t="shared" si="3"/>
        <v>10</v>
      </c>
      <c r="T28" s="32">
        <f t="shared" si="15"/>
        <v>10624</v>
      </c>
      <c r="U28" s="32">
        <f t="shared" ca="1" si="16"/>
        <v>739</v>
      </c>
      <c r="V28" s="32">
        <f t="shared" ca="1" si="17"/>
        <v>2201</v>
      </c>
      <c r="W28" s="147" t="s">
        <v>736</v>
      </c>
      <c r="X28" s="148">
        <f t="shared" si="4"/>
        <v>12</v>
      </c>
      <c r="Y28" s="32">
        <f t="shared" si="18"/>
        <v>9488</v>
      </c>
      <c r="Z28" s="32">
        <f t="shared" ca="1" si="19"/>
        <v>825</v>
      </c>
      <c r="AA28" s="32">
        <f t="shared" ca="1" si="20"/>
        <v>2588</v>
      </c>
      <c r="AB28" s="147" t="s">
        <v>736</v>
      </c>
      <c r="AC28" s="148">
        <f t="shared" si="5"/>
        <v>15</v>
      </c>
      <c r="AD28" s="32">
        <f t="shared" si="21"/>
        <v>27400</v>
      </c>
      <c r="AE28" s="32">
        <f t="shared" ca="1" si="22"/>
        <v>3100</v>
      </c>
      <c r="AF28" s="32">
        <f t="shared" ca="1" si="23"/>
        <v>4469</v>
      </c>
      <c r="AG28" s="147" t="s">
        <v>736</v>
      </c>
      <c r="AH28" s="148">
        <f t="shared" si="6"/>
        <v>23</v>
      </c>
      <c r="AI28" s="32">
        <f t="shared" si="24"/>
        <v>120752</v>
      </c>
      <c r="AJ28" s="32">
        <f t="shared" ca="1" si="25"/>
        <v>0</v>
      </c>
      <c r="AK28" s="32">
        <f t="shared" ca="1" si="26"/>
        <v>15448</v>
      </c>
      <c r="AL28" s="147"/>
      <c r="AM28" s="148">
        <f t="shared" si="7"/>
        <v>5</v>
      </c>
      <c r="AN28" s="32">
        <f t="shared" si="27"/>
        <v>39932</v>
      </c>
      <c r="AO28" s="32">
        <f t="shared" ca="1" si="28"/>
        <v>0</v>
      </c>
      <c r="AP28" s="32">
        <f t="shared" ca="1" si="29"/>
        <v>16575</v>
      </c>
      <c r="AQ28" s="147"/>
      <c r="AR28" s="156"/>
    </row>
    <row r="29" spans="1:44" x14ac:dyDescent="0.15">
      <c r="A29" s="134"/>
      <c r="B29" s="144" t="s">
        <v>750</v>
      </c>
      <c r="C29" s="154">
        <f t="shared" si="33"/>
        <v>137</v>
      </c>
      <c r="D29" s="142">
        <f t="shared" si="0"/>
        <v>13</v>
      </c>
      <c r="E29" s="32">
        <f t="shared" si="8"/>
        <v>12672</v>
      </c>
      <c r="F29" s="32">
        <f t="shared" ca="1" si="30"/>
        <v>3263</v>
      </c>
      <c r="G29" s="32">
        <f t="shared" ca="1" si="31"/>
        <v>166</v>
      </c>
      <c r="H29" s="147" t="s">
        <v>736</v>
      </c>
      <c r="I29" s="148">
        <f t="shared" si="1"/>
        <v>14</v>
      </c>
      <c r="J29" s="32">
        <f t="shared" si="9"/>
        <v>12537</v>
      </c>
      <c r="K29" s="32">
        <f t="shared" ca="1" si="10"/>
        <v>1992</v>
      </c>
      <c r="L29" s="32">
        <f t="shared" ca="1" si="11"/>
        <v>2652</v>
      </c>
      <c r="M29" s="147" t="s">
        <v>736</v>
      </c>
      <c r="N29" s="148">
        <f t="shared" si="2"/>
        <v>13</v>
      </c>
      <c r="O29" s="32">
        <f t="shared" si="12"/>
        <v>10331</v>
      </c>
      <c r="P29" s="32">
        <f t="shared" ca="1" si="13"/>
        <v>1520</v>
      </c>
      <c r="Q29" s="32">
        <f t="shared" ca="1" si="14"/>
        <v>2392</v>
      </c>
      <c r="R29" s="147" t="s">
        <v>736</v>
      </c>
      <c r="S29" s="148">
        <f t="shared" si="3"/>
        <v>10</v>
      </c>
      <c r="T29" s="32">
        <f t="shared" si="15"/>
        <v>10761</v>
      </c>
      <c r="U29" s="32">
        <f t="shared" ca="1" si="16"/>
        <v>876</v>
      </c>
      <c r="V29" s="32">
        <f t="shared" ca="1" si="17"/>
        <v>2064</v>
      </c>
      <c r="W29" s="147" t="s">
        <v>736</v>
      </c>
      <c r="X29" s="148">
        <f t="shared" si="4"/>
        <v>12</v>
      </c>
      <c r="Y29" s="32">
        <f t="shared" si="18"/>
        <v>9625</v>
      </c>
      <c r="Z29" s="32">
        <f t="shared" ca="1" si="19"/>
        <v>962</v>
      </c>
      <c r="AA29" s="32">
        <f t="shared" ca="1" si="20"/>
        <v>2451</v>
      </c>
      <c r="AB29" s="147" t="s">
        <v>736</v>
      </c>
      <c r="AC29" s="148">
        <f t="shared" si="5"/>
        <v>15</v>
      </c>
      <c r="AD29" s="32">
        <f t="shared" si="21"/>
        <v>27537</v>
      </c>
      <c r="AE29" s="32">
        <f t="shared" ca="1" si="22"/>
        <v>3237</v>
      </c>
      <c r="AF29" s="32">
        <f t="shared" ca="1" si="23"/>
        <v>4332</v>
      </c>
      <c r="AG29" s="147" t="s">
        <v>736</v>
      </c>
      <c r="AH29" s="148">
        <f t="shared" si="6"/>
        <v>23</v>
      </c>
      <c r="AI29" s="32">
        <f t="shared" si="24"/>
        <v>120752</v>
      </c>
      <c r="AJ29" s="32">
        <f t="shared" ca="1" si="25"/>
        <v>0</v>
      </c>
      <c r="AK29" s="32">
        <f t="shared" ca="1" si="26"/>
        <v>15448</v>
      </c>
      <c r="AL29" s="147"/>
      <c r="AM29" s="148">
        <f t="shared" si="7"/>
        <v>5</v>
      </c>
      <c r="AN29" s="32">
        <f t="shared" si="27"/>
        <v>39932</v>
      </c>
      <c r="AO29" s="32">
        <f t="shared" ca="1" si="28"/>
        <v>0</v>
      </c>
      <c r="AP29" s="32">
        <f t="shared" ca="1" si="29"/>
        <v>16575</v>
      </c>
      <c r="AQ29" s="147"/>
      <c r="AR29" s="156"/>
    </row>
    <row r="30" spans="1:44" x14ac:dyDescent="0.15">
      <c r="A30" s="134"/>
      <c r="B30" s="144" t="s">
        <v>751</v>
      </c>
      <c r="C30" s="154">
        <f t="shared" si="33"/>
        <v>1050</v>
      </c>
      <c r="D30" s="142">
        <f t="shared" si="0"/>
        <v>14</v>
      </c>
      <c r="E30" s="32">
        <f t="shared" si="8"/>
        <v>13722</v>
      </c>
      <c r="F30" s="32">
        <f t="shared" ca="1" si="30"/>
        <v>884</v>
      </c>
      <c r="G30" s="32">
        <f t="shared" ca="1" si="31"/>
        <v>3616</v>
      </c>
      <c r="H30" s="147" t="s">
        <v>736</v>
      </c>
      <c r="I30" s="148">
        <f t="shared" si="1"/>
        <v>14</v>
      </c>
      <c r="J30" s="32">
        <f t="shared" si="9"/>
        <v>13587</v>
      </c>
      <c r="K30" s="32">
        <f t="shared" ca="1" si="10"/>
        <v>3042</v>
      </c>
      <c r="L30" s="32">
        <f t="shared" ca="1" si="11"/>
        <v>1602</v>
      </c>
      <c r="M30" s="147" t="s">
        <v>736</v>
      </c>
      <c r="N30" s="148">
        <f t="shared" si="2"/>
        <v>13</v>
      </c>
      <c r="O30" s="32">
        <f t="shared" si="12"/>
        <v>11381</v>
      </c>
      <c r="P30" s="32">
        <f t="shared" ca="1" si="13"/>
        <v>2570</v>
      </c>
      <c r="Q30" s="32">
        <f t="shared" ca="1" si="14"/>
        <v>1342</v>
      </c>
      <c r="R30" s="147" t="s">
        <v>736</v>
      </c>
      <c r="S30" s="148">
        <f t="shared" si="3"/>
        <v>10</v>
      </c>
      <c r="T30" s="32">
        <f t="shared" si="15"/>
        <v>11811</v>
      </c>
      <c r="U30" s="32">
        <f t="shared" ca="1" si="16"/>
        <v>1926</v>
      </c>
      <c r="V30" s="32">
        <f t="shared" ca="1" si="17"/>
        <v>1014</v>
      </c>
      <c r="W30" s="147" t="s">
        <v>736</v>
      </c>
      <c r="X30" s="148">
        <f t="shared" si="4"/>
        <v>12</v>
      </c>
      <c r="Y30" s="32">
        <f t="shared" si="18"/>
        <v>10675</v>
      </c>
      <c r="Z30" s="32">
        <f t="shared" ca="1" si="19"/>
        <v>2012</v>
      </c>
      <c r="AA30" s="32">
        <f t="shared" ca="1" si="20"/>
        <v>1401</v>
      </c>
      <c r="AB30" s="147" t="s">
        <v>736</v>
      </c>
      <c r="AC30" s="148">
        <f t="shared" si="5"/>
        <v>15</v>
      </c>
      <c r="AD30" s="32">
        <f t="shared" si="21"/>
        <v>28587</v>
      </c>
      <c r="AE30" s="32">
        <f t="shared" ca="1" si="22"/>
        <v>4287</v>
      </c>
      <c r="AF30" s="32">
        <f t="shared" ca="1" si="23"/>
        <v>3282</v>
      </c>
      <c r="AG30" s="147" t="s">
        <v>736</v>
      </c>
      <c r="AH30" s="148">
        <f t="shared" si="6"/>
        <v>23</v>
      </c>
      <c r="AI30" s="32">
        <f t="shared" si="24"/>
        <v>120752</v>
      </c>
      <c r="AJ30" s="32">
        <f t="shared" ca="1" si="25"/>
        <v>0</v>
      </c>
      <c r="AK30" s="32">
        <f t="shared" ca="1" si="26"/>
        <v>15448</v>
      </c>
      <c r="AL30" s="147"/>
      <c r="AM30" s="148">
        <f t="shared" si="7"/>
        <v>5</v>
      </c>
      <c r="AN30" s="32">
        <f t="shared" si="27"/>
        <v>39932</v>
      </c>
      <c r="AO30" s="32">
        <f t="shared" ca="1" si="28"/>
        <v>0</v>
      </c>
      <c r="AP30" s="32">
        <f t="shared" ca="1" si="29"/>
        <v>16575</v>
      </c>
      <c r="AQ30" s="147"/>
      <c r="AR30" s="156"/>
    </row>
    <row r="31" spans="1:44" x14ac:dyDescent="0.15">
      <c r="A31" s="134"/>
      <c r="B31" s="144" t="s">
        <v>752</v>
      </c>
      <c r="C31" s="154">
        <f t="shared" si="33"/>
        <v>550</v>
      </c>
      <c r="D31" s="142">
        <f t="shared" si="0"/>
        <v>14</v>
      </c>
      <c r="E31" s="32">
        <f t="shared" si="8"/>
        <v>14272</v>
      </c>
      <c r="F31" s="32">
        <f t="shared" ca="1" si="30"/>
        <v>1434</v>
      </c>
      <c r="G31" s="32">
        <f t="shared" ca="1" si="31"/>
        <v>3066</v>
      </c>
      <c r="H31" s="147" t="s">
        <v>736</v>
      </c>
      <c r="I31" s="148">
        <f t="shared" si="1"/>
        <v>14</v>
      </c>
      <c r="J31" s="32">
        <f t="shared" si="9"/>
        <v>14137</v>
      </c>
      <c r="K31" s="32">
        <f t="shared" ca="1" si="10"/>
        <v>3592</v>
      </c>
      <c r="L31" s="32">
        <f t="shared" ca="1" si="11"/>
        <v>1052</v>
      </c>
      <c r="M31" s="147" t="s">
        <v>736</v>
      </c>
      <c r="N31" s="148">
        <f t="shared" si="2"/>
        <v>13</v>
      </c>
      <c r="O31" s="32">
        <f t="shared" si="12"/>
        <v>11931</v>
      </c>
      <c r="P31" s="32">
        <f t="shared" ca="1" si="13"/>
        <v>3120</v>
      </c>
      <c r="Q31" s="32">
        <f t="shared" ca="1" si="14"/>
        <v>792</v>
      </c>
      <c r="R31" s="147" t="s">
        <v>736</v>
      </c>
      <c r="S31" s="148">
        <f t="shared" si="3"/>
        <v>10</v>
      </c>
      <c r="T31" s="32">
        <f t="shared" si="15"/>
        <v>12361</v>
      </c>
      <c r="U31" s="32">
        <f t="shared" ca="1" si="16"/>
        <v>2476</v>
      </c>
      <c r="V31" s="32">
        <f t="shared" ca="1" si="17"/>
        <v>464</v>
      </c>
      <c r="W31" s="147" t="s">
        <v>736</v>
      </c>
      <c r="X31" s="148">
        <f t="shared" si="4"/>
        <v>12</v>
      </c>
      <c r="Y31" s="32">
        <f t="shared" si="18"/>
        <v>11225</v>
      </c>
      <c r="Z31" s="32">
        <f t="shared" ca="1" si="19"/>
        <v>2562</v>
      </c>
      <c r="AA31" s="32">
        <f t="shared" ca="1" si="20"/>
        <v>851</v>
      </c>
      <c r="AB31" s="147" t="s">
        <v>736</v>
      </c>
      <c r="AC31" s="148">
        <f t="shared" si="5"/>
        <v>15</v>
      </c>
      <c r="AD31" s="32">
        <f t="shared" si="21"/>
        <v>29137</v>
      </c>
      <c r="AE31" s="32">
        <f t="shared" ca="1" si="22"/>
        <v>4837</v>
      </c>
      <c r="AF31" s="32">
        <f t="shared" ca="1" si="23"/>
        <v>2732</v>
      </c>
      <c r="AG31" s="147" t="s">
        <v>736</v>
      </c>
      <c r="AH31" s="148">
        <f t="shared" si="6"/>
        <v>23</v>
      </c>
      <c r="AI31" s="32">
        <f t="shared" si="24"/>
        <v>120752</v>
      </c>
      <c r="AJ31" s="32">
        <f t="shared" ca="1" si="25"/>
        <v>0</v>
      </c>
      <c r="AK31" s="32">
        <f t="shared" ca="1" si="26"/>
        <v>15448</v>
      </c>
      <c r="AL31" s="147"/>
      <c r="AM31" s="148">
        <f t="shared" si="7"/>
        <v>5</v>
      </c>
      <c r="AN31" s="32">
        <f t="shared" si="27"/>
        <v>39932</v>
      </c>
      <c r="AO31" s="32">
        <f t="shared" ca="1" si="28"/>
        <v>0</v>
      </c>
      <c r="AP31" s="32">
        <f t="shared" ca="1" si="29"/>
        <v>16575</v>
      </c>
      <c r="AQ31" s="147"/>
      <c r="AR31" s="156"/>
    </row>
    <row r="32" spans="1:44" x14ac:dyDescent="0.15">
      <c r="A32" s="134"/>
      <c r="B32" s="144" t="s">
        <v>753</v>
      </c>
      <c r="C32" s="154">
        <f t="shared" si="33"/>
        <v>750</v>
      </c>
      <c r="D32" s="142">
        <f t="shared" si="0"/>
        <v>14</v>
      </c>
      <c r="E32" s="32">
        <f t="shared" si="8"/>
        <v>15022</v>
      </c>
      <c r="F32" s="32">
        <f t="shared" ca="1" si="30"/>
        <v>2184</v>
      </c>
      <c r="G32" s="32">
        <f t="shared" ca="1" si="31"/>
        <v>2316</v>
      </c>
      <c r="H32" s="147" t="s">
        <v>736</v>
      </c>
      <c r="I32" s="148">
        <f t="shared" si="1"/>
        <v>14</v>
      </c>
      <c r="J32" s="32">
        <f t="shared" si="9"/>
        <v>14887</v>
      </c>
      <c r="K32" s="32">
        <f t="shared" ca="1" si="10"/>
        <v>4342</v>
      </c>
      <c r="L32" s="32">
        <f t="shared" ca="1" si="11"/>
        <v>302</v>
      </c>
      <c r="M32" s="147" t="s">
        <v>736</v>
      </c>
      <c r="N32" s="148">
        <f t="shared" si="2"/>
        <v>13</v>
      </c>
      <c r="O32" s="32">
        <f t="shared" si="12"/>
        <v>12681</v>
      </c>
      <c r="P32" s="32">
        <f t="shared" ca="1" si="13"/>
        <v>3870</v>
      </c>
      <c r="Q32" s="32">
        <f t="shared" ca="1" si="14"/>
        <v>42</v>
      </c>
      <c r="R32" s="147" t="s">
        <v>736</v>
      </c>
      <c r="S32" s="148">
        <f t="shared" si="3"/>
        <v>11</v>
      </c>
      <c r="T32" s="32">
        <f t="shared" si="15"/>
        <v>13111</v>
      </c>
      <c r="U32" s="32">
        <f t="shared" ca="1" si="16"/>
        <v>286</v>
      </c>
      <c r="V32" s="32">
        <f t="shared" ca="1" si="17"/>
        <v>3480</v>
      </c>
      <c r="W32" s="147" t="s">
        <v>736</v>
      </c>
      <c r="X32" s="148">
        <f t="shared" si="4"/>
        <v>12</v>
      </c>
      <c r="Y32" s="32">
        <f t="shared" si="18"/>
        <v>11975</v>
      </c>
      <c r="Z32" s="32">
        <f t="shared" ca="1" si="19"/>
        <v>3312</v>
      </c>
      <c r="AA32" s="32">
        <f t="shared" ca="1" si="20"/>
        <v>101</v>
      </c>
      <c r="AB32" s="147" t="s">
        <v>736</v>
      </c>
      <c r="AC32" s="148">
        <f t="shared" si="5"/>
        <v>15</v>
      </c>
      <c r="AD32" s="32">
        <f t="shared" si="21"/>
        <v>29887</v>
      </c>
      <c r="AE32" s="32">
        <f t="shared" ca="1" si="22"/>
        <v>5587</v>
      </c>
      <c r="AF32" s="32">
        <f t="shared" ca="1" si="23"/>
        <v>1982</v>
      </c>
      <c r="AG32" s="147" t="s">
        <v>736</v>
      </c>
      <c r="AH32" s="148">
        <f t="shared" si="6"/>
        <v>23</v>
      </c>
      <c r="AI32" s="32">
        <f t="shared" si="24"/>
        <v>120752</v>
      </c>
      <c r="AJ32" s="32">
        <f t="shared" ca="1" si="25"/>
        <v>0</v>
      </c>
      <c r="AK32" s="32">
        <f t="shared" ca="1" si="26"/>
        <v>15448</v>
      </c>
      <c r="AL32" s="147"/>
      <c r="AM32" s="148">
        <f t="shared" si="7"/>
        <v>5</v>
      </c>
      <c r="AN32" s="32">
        <f t="shared" si="27"/>
        <v>39932</v>
      </c>
      <c r="AO32" s="32">
        <f t="shared" ca="1" si="28"/>
        <v>0</v>
      </c>
      <c r="AP32" s="32">
        <f t="shared" ca="1" si="29"/>
        <v>16575</v>
      </c>
      <c r="AQ32" s="147"/>
      <c r="AR32" s="156"/>
    </row>
    <row r="33" spans="1:44" x14ac:dyDescent="0.15">
      <c r="A33" s="134"/>
      <c r="B33" s="144" t="s">
        <v>754</v>
      </c>
      <c r="C33" s="154">
        <f t="shared" si="33"/>
        <v>1250</v>
      </c>
      <c r="D33" s="142">
        <f t="shared" si="0"/>
        <v>14</v>
      </c>
      <c r="E33" s="32">
        <f t="shared" si="8"/>
        <v>16272</v>
      </c>
      <c r="F33" s="32">
        <f t="shared" ca="1" si="30"/>
        <v>3434</v>
      </c>
      <c r="G33" s="32">
        <f t="shared" ca="1" si="31"/>
        <v>1066</v>
      </c>
      <c r="H33" s="147" t="s">
        <v>736</v>
      </c>
      <c r="I33" s="148">
        <f t="shared" si="1"/>
        <v>15</v>
      </c>
      <c r="J33" s="32">
        <f t="shared" si="9"/>
        <v>16137</v>
      </c>
      <c r="K33" s="32">
        <f t="shared" ca="1" si="10"/>
        <v>948</v>
      </c>
      <c r="L33" s="32">
        <f t="shared" ca="1" si="11"/>
        <v>3841</v>
      </c>
      <c r="M33" s="147" t="s">
        <v>736</v>
      </c>
      <c r="N33" s="148">
        <f t="shared" si="2"/>
        <v>14</v>
      </c>
      <c r="O33" s="32">
        <f t="shared" si="12"/>
        <v>13931</v>
      </c>
      <c r="P33" s="32">
        <f t="shared" ca="1" si="13"/>
        <v>1208</v>
      </c>
      <c r="Q33" s="32">
        <f t="shared" ca="1" si="14"/>
        <v>4415</v>
      </c>
      <c r="R33" s="147" t="s">
        <v>736</v>
      </c>
      <c r="S33" s="148">
        <f t="shared" si="3"/>
        <v>11</v>
      </c>
      <c r="T33" s="32">
        <f t="shared" si="15"/>
        <v>14361</v>
      </c>
      <c r="U33" s="32">
        <f t="shared" ca="1" si="16"/>
        <v>1536</v>
      </c>
      <c r="V33" s="32">
        <f t="shared" ca="1" si="17"/>
        <v>2230</v>
      </c>
      <c r="W33" s="147" t="s">
        <v>736</v>
      </c>
      <c r="X33" s="148">
        <f t="shared" si="4"/>
        <v>13</v>
      </c>
      <c r="Y33" s="32">
        <f t="shared" si="18"/>
        <v>13225</v>
      </c>
      <c r="Z33" s="32">
        <f t="shared" ca="1" si="19"/>
        <v>1149</v>
      </c>
      <c r="AA33" s="32">
        <f t="shared" ca="1" si="20"/>
        <v>3010</v>
      </c>
      <c r="AB33" s="147" t="s">
        <v>736</v>
      </c>
      <c r="AC33" s="148">
        <f t="shared" si="5"/>
        <v>15</v>
      </c>
      <c r="AD33" s="32">
        <f t="shared" si="21"/>
        <v>31137</v>
      </c>
      <c r="AE33" s="32">
        <f t="shared" ca="1" si="22"/>
        <v>6837</v>
      </c>
      <c r="AF33" s="32">
        <f t="shared" ca="1" si="23"/>
        <v>732</v>
      </c>
      <c r="AG33" s="147" t="s">
        <v>736</v>
      </c>
      <c r="AH33" s="148">
        <f t="shared" si="6"/>
        <v>23</v>
      </c>
      <c r="AI33" s="32">
        <f t="shared" si="24"/>
        <v>120752</v>
      </c>
      <c r="AJ33" s="32">
        <f t="shared" ca="1" si="25"/>
        <v>0</v>
      </c>
      <c r="AK33" s="32">
        <f t="shared" ca="1" si="26"/>
        <v>15448</v>
      </c>
      <c r="AL33" s="147"/>
      <c r="AM33" s="148">
        <f t="shared" si="7"/>
        <v>5</v>
      </c>
      <c r="AN33" s="32">
        <f t="shared" si="27"/>
        <v>39932</v>
      </c>
      <c r="AO33" s="32">
        <f t="shared" ca="1" si="28"/>
        <v>0</v>
      </c>
      <c r="AP33" s="32">
        <f t="shared" ca="1" si="29"/>
        <v>16575</v>
      </c>
      <c r="AQ33" s="147"/>
      <c r="AR33" s="156"/>
    </row>
    <row r="34" spans="1:44" x14ac:dyDescent="0.15">
      <c r="A34" s="134"/>
      <c r="B34" s="144" t="s">
        <v>755</v>
      </c>
      <c r="C34" s="154">
        <f t="shared" si="33"/>
        <v>135</v>
      </c>
      <c r="D34" s="142">
        <f t="shared" si="0"/>
        <v>14</v>
      </c>
      <c r="E34" s="32">
        <f t="shared" si="8"/>
        <v>16407</v>
      </c>
      <c r="F34" s="32">
        <f t="shared" ca="1" si="30"/>
        <v>3569</v>
      </c>
      <c r="G34" s="32">
        <f t="shared" ca="1" si="31"/>
        <v>931</v>
      </c>
      <c r="H34" s="147" t="s">
        <v>736</v>
      </c>
      <c r="I34" s="148">
        <f t="shared" si="1"/>
        <v>15</v>
      </c>
      <c r="J34" s="32">
        <f t="shared" si="9"/>
        <v>16272</v>
      </c>
      <c r="K34" s="32">
        <f t="shared" ca="1" si="10"/>
        <v>1083</v>
      </c>
      <c r="L34" s="32">
        <f t="shared" ca="1" si="11"/>
        <v>3706</v>
      </c>
      <c r="M34" s="147" t="s">
        <v>736</v>
      </c>
      <c r="N34" s="148">
        <f t="shared" si="2"/>
        <v>14</v>
      </c>
      <c r="O34" s="32">
        <f t="shared" si="12"/>
        <v>14066</v>
      </c>
      <c r="P34" s="32">
        <f t="shared" ca="1" si="13"/>
        <v>1343</v>
      </c>
      <c r="Q34" s="32">
        <f t="shared" ca="1" si="14"/>
        <v>4280</v>
      </c>
      <c r="R34" s="147" t="s">
        <v>736</v>
      </c>
      <c r="S34" s="148">
        <f t="shared" si="3"/>
        <v>11</v>
      </c>
      <c r="T34" s="32">
        <f t="shared" si="15"/>
        <v>14496</v>
      </c>
      <c r="U34" s="32">
        <f t="shared" ca="1" si="16"/>
        <v>1671</v>
      </c>
      <c r="V34" s="32">
        <f t="shared" ca="1" si="17"/>
        <v>2095</v>
      </c>
      <c r="W34" s="147" t="s">
        <v>736</v>
      </c>
      <c r="X34" s="148">
        <f t="shared" si="4"/>
        <v>13</v>
      </c>
      <c r="Y34" s="32">
        <f t="shared" si="18"/>
        <v>13360</v>
      </c>
      <c r="Z34" s="32">
        <f t="shared" ca="1" si="19"/>
        <v>1284</v>
      </c>
      <c r="AA34" s="32">
        <f t="shared" ca="1" si="20"/>
        <v>2875</v>
      </c>
      <c r="AB34" s="147" t="s">
        <v>736</v>
      </c>
      <c r="AC34" s="148">
        <f t="shared" si="5"/>
        <v>15</v>
      </c>
      <c r="AD34" s="32">
        <f t="shared" si="21"/>
        <v>31272</v>
      </c>
      <c r="AE34" s="32">
        <f t="shared" ca="1" si="22"/>
        <v>6972</v>
      </c>
      <c r="AF34" s="32">
        <f t="shared" ca="1" si="23"/>
        <v>597</v>
      </c>
      <c r="AG34" s="147" t="s">
        <v>736</v>
      </c>
      <c r="AH34" s="148">
        <f t="shared" si="6"/>
        <v>23</v>
      </c>
      <c r="AI34" s="32">
        <f t="shared" si="24"/>
        <v>120752</v>
      </c>
      <c r="AJ34" s="32">
        <f t="shared" ca="1" si="25"/>
        <v>0</v>
      </c>
      <c r="AK34" s="32">
        <f t="shared" ca="1" si="26"/>
        <v>15448</v>
      </c>
      <c r="AL34" s="147"/>
      <c r="AM34" s="148">
        <f t="shared" si="7"/>
        <v>5</v>
      </c>
      <c r="AN34" s="32">
        <f t="shared" si="27"/>
        <v>39932</v>
      </c>
      <c r="AO34" s="32">
        <f t="shared" ca="1" si="28"/>
        <v>0</v>
      </c>
      <c r="AP34" s="32">
        <f t="shared" ca="1" si="29"/>
        <v>16575</v>
      </c>
      <c r="AQ34" s="147"/>
      <c r="AR34" s="156"/>
    </row>
    <row r="35" spans="1:44" x14ac:dyDescent="0.15">
      <c r="A35" s="134"/>
      <c r="B35" s="144" t="s">
        <v>288</v>
      </c>
      <c r="C35" s="154">
        <f t="shared" si="33"/>
        <v>135</v>
      </c>
      <c r="D35" s="142">
        <f t="shared" si="0"/>
        <v>14</v>
      </c>
      <c r="E35" s="32">
        <f t="shared" si="8"/>
        <v>16542</v>
      </c>
      <c r="F35" s="32">
        <f t="shared" ca="1" si="30"/>
        <v>3704</v>
      </c>
      <c r="G35" s="32">
        <f t="shared" ca="1" si="31"/>
        <v>796</v>
      </c>
      <c r="H35" s="147" t="s">
        <v>736</v>
      </c>
      <c r="I35" s="148">
        <f t="shared" si="1"/>
        <v>15</v>
      </c>
      <c r="J35" s="32">
        <f t="shared" si="9"/>
        <v>16407</v>
      </c>
      <c r="K35" s="32">
        <f t="shared" ca="1" si="10"/>
        <v>1218</v>
      </c>
      <c r="L35" s="32">
        <f t="shared" ca="1" si="11"/>
        <v>3571</v>
      </c>
      <c r="M35" s="147" t="s">
        <v>736</v>
      </c>
      <c r="N35" s="148">
        <f t="shared" si="2"/>
        <v>14</v>
      </c>
      <c r="O35" s="32">
        <f t="shared" si="12"/>
        <v>14201</v>
      </c>
      <c r="P35" s="32">
        <f t="shared" ca="1" si="13"/>
        <v>1478</v>
      </c>
      <c r="Q35" s="32">
        <f t="shared" ca="1" si="14"/>
        <v>4145</v>
      </c>
      <c r="R35" s="147" t="s">
        <v>736</v>
      </c>
      <c r="S35" s="148">
        <f t="shared" si="3"/>
        <v>11</v>
      </c>
      <c r="T35" s="32">
        <f t="shared" si="15"/>
        <v>14631</v>
      </c>
      <c r="U35" s="32">
        <f t="shared" ca="1" si="16"/>
        <v>1806</v>
      </c>
      <c r="V35" s="32">
        <f t="shared" ca="1" si="17"/>
        <v>1960</v>
      </c>
      <c r="W35" s="147" t="s">
        <v>736</v>
      </c>
      <c r="X35" s="148">
        <f t="shared" si="4"/>
        <v>13</v>
      </c>
      <c r="Y35" s="32">
        <f t="shared" si="18"/>
        <v>13495</v>
      </c>
      <c r="Z35" s="32">
        <f t="shared" ca="1" si="19"/>
        <v>1419</v>
      </c>
      <c r="AA35" s="32">
        <f t="shared" ca="1" si="20"/>
        <v>2740</v>
      </c>
      <c r="AB35" s="147" t="s">
        <v>736</v>
      </c>
      <c r="AC35" s="148">
        <f t="shared" si="5"/>
        <v>15</v>
      </c>
      <c r="AD35" s="32">
        <f t="shared" si="21"/>
        <v>31407</v>
      </c>
      <c r="AE35" s="32">
        <f t="shared" ca="1" si="22"/>
        <v>7107</v>
      </c>
      <c r="AF35" s="32">
        <f t="shared" ca="1" si="23"/>
        <v>462</v>
      </c>
      <c r="AG35" s="147" t="s">
        <v>736</v>
      </c>
      <c r="AH35" s="148">
        <f t="shared" si="6"/>
        <v>23</v>
      </c>
      <c r="AI35" s="32">
        <f t="shared" si="24"/>
        <v>120752</v>
      </c>
      <c r="AJ35" s="32">
        <f t="shared" ca="1" si="25"/>
        <v>0</v>
      </c>
      <c r="AK35" s="32">
        <f t="shared" ca="1" si="26"/>
        <v>15448</v>
      </c>
      <c r="AL35" s="147"/>
      <c r="AM35" s="148">
        <f t="shared" si="7"/>
        <v>5</v>
      </c>
      <c r="AN35" s="32">
        <f t="shared" si="27"/>
        <v>39932</v>
      </c>
      <c r="AO35" s="32">
        <f t="shared" ca="1" si="28"/>
        <v>0</v>
      </c>
      <c r="AP35" s="32">
        <f t="shared" ca="1" si="29"/>
        <v>16575</v>
      </c>
      <c r="AQ35" s="147"/>
      <c r="AR35" s="156"/>
    </row>
    <row r="36" spans="1:44" x14ac:dyDescent="0.15">
      <c r="A36" s="134"/>
      <c r="B36" s="144" t="s">
        <v>290</v>
      </c>
      <c r="C36" s="154">
        <f t="shared" si="33"/>
        <v>250</v>
      </c>
      <c r="D36" s="142">
        <f t="shared" ref="D36:D60" si="34">COUNTIF(主人公Exp,"&lt;="&amp;E36)</f>
        <v>14</v>
      </c>
      <c r="E36" s="32">
        <f t="shared" si="8"/>
        <v>16792</v>
      </c>
      <c r="F36" s="32">
        <f t="shared" ca="1" si="30"/>
        <v>3954</v>
      </c>
      <c r="G36" s="32">
        <f t="shared" ca="1" si="31"/>
        <v>546</v>
      </c>
      <c r="H36" s="147" t="s">
        <v>736</v>
      </c>
      <c r="I36" s="148">
        <f t="shared" ref="I36:I60" si="35">COUNTIF(ハッサンExp,"&lt;="&amp;J36)</f>
        <v>15</v>
      </c>
      <c r="J36" s="32">
        <f t="shared" si="9"/>
        <v>16657</v>
      </c>
      <c r="K36" s="32">
        <f t="shared" ca="1" si="10"/>
        <v>1468</v>
      </c>
      <c r="L36" s="32">
        <f t="shared" ca="1" si="11"/>
        <v>3321</v>
      </c>
      <c r="M36" s="147" t="s">
        <v>736</v>
      </c>
      <c r="N36" s="148">
        <f t="shared" ref="N36:N60" si="36">COUNTIF(ミレーユExp,"&lt;="&amp;O36)</f>
        <v>14</v>
      </c>
      <c r="O36" s="32">
        <f t="shared" si="12"/>
        <v>14451</v>
      </c>
      <c r="P36" s="32">
        <f t="shared" ca="1" si="13"/>
        <v>1728</v>
      </c>
      <c r="Q36" s="32">
        <f t="shared" ca="1" si="14"/>
        <v>3895</v>
      </c>
      <c r="R36" s="147" t="s">
        <v>736</v>
      </c>
      <c r="S36" s="148">
        <f t="shared" ref="S36:S60" si="37">COUNTIF(バーバラExp,"&lt;="&amp;T36)</f>
        <v>11</v>
      </c>
      <c r="T36" s="32">
        <f t="shared" si="15"/>
        <v>14881</v>
      </c>
      <c r="U36" s="32">
        <f t="shared" ca="1" si="16"/>
        <v>2056</v>
      </c>
      <c r="V36" s="32">
        <f t="shared" ca="1" si="17"/>
        <v>1710</v>
      </c>
      <c r="W36" s="147" t="s">
        <v>736</v>
      </c>
      <c r="X36" s="148">
        <f t="shared" ref="X36:X60" si="38">COUNTIF(チャモロExp,"&lt;="&amp;Y36)</f>
        <v>13</v>
      </c>
      <c r="Y36" s="32">
        <f t="shared" si="18"/>
        <v>13745</v>
      </c>
      <c r="Z36" s="32">
        <f t="shared" ca="1" si="19"/>
        <v>1669</v>
      </c>
      <c r="AA36" s="32">
        <f t="shared" ca="1" si="20"/>
        <v>2490</v>
      </c>
      <c r="AB36" s="147" t="s">
        <v>736</v>
      </c>
      <c r="AC36" s="148">
        <f t="shared" ref="AC36:AC60" si="39">COUNTIF(アモスExp,"&lt;="&amp;AD36)</f>
        <v>15</v>
      </c>
      <c r="AD36" s="32">
        <f t="shared" si="21"/>
        <v>31657</v>
      </c>
      <c r="AE36" s="32">
        <f t="shared" ca="1" si="22"/>
        <v>7357</v>
      </c>
      <c r="AF36" s="32">
        <f t="shared" ca="1" si="23"/>
        <v>212</v>
      </c>
      <c r="AG36" s="147" t="s">
        <v>736</v>
      </c>
      <c r="AH36" s="148">
        <f t="shared" ref="AH36:AH60" si="40">COUNTIF(テリーExp,"&lt;="&amp;AI36)</f>
        <v>23</v>
      </c>
      <c r="AI36" s="32">
        <f t="shared" si="24"/>
        <v>120752</v>
      </c>
      <c r="AJ36" s="32">
        <f t="shared" ca="1" si="25"/>
        <v>0</v>
      </c>
      <c r="AK36" s="32">
        <f t="shared" ca="1" si="26"/>
        <v>15448</v>
      </c>
      <c r="AL36" s="147"/>
      <c r="AM36" s="148">
        <f t="shared" ref="AM36:AM60" si="41">COUNTIF(ドランゴExp,"&lt;="&amp;AN36)</f>
        <v>5</v>
      </c>
      <c r="AN36" s="32">
        <f t="shared" si="27"/>
        <v>39932</v>
      </c>
      <c r="AO36" s="32">
        <f t="shared" ca="1" si="28"/>
        <v>0</v>
      </c>
      <c r="AP36" s="32">
        <f t="shared" ca="1" si="29"/>
        <v>16575</v>
      </c>
      <c r="AQ36" s="147"/>
      <c r="AR36" s="156"/>
    </row>
    <row r="37" spans="1:44" x14ac:dyDescent="0.15">
      <c r="A37" s="134"/>
      <c r="B37" s="144" t="s">
        <v>756</v>
      </c>
      <c r="C37" s="154">
        <f t="shared" si="33"/>
        <v>250</v>
      </c>
      <c r="D37" s="142">
        <f t="shared" si="34"/>
        <v>14</v>
      </c>
      <c r="E37" s="32">
        <f t="shared" ref="E37:E60" si="42">E36+IF(H37="○",$C37,0)</f>
        <v>17042</v>
      </c>
      <c r="F37" s="32">
        <f t="shared" ca="1" si="30"/>
        <v>4204</v>
      </c>
      <c r="G37" s="32">
        <f t="shared" ca="1" si="31"/>
        <v>296</v>
      </c>
      <c r="H37" s="147" t="s">
        <v>736</v>
      </c>
      <c r="I37" s="148">
        <f t="shared" si="35"/>
        <v>15</v>
      </c>
      <c r="J37" s="32">
        <f t="shared" ref="J37:J60" si="43">J36+IF(M37="○",$C37,0)</f>
        <v>16907</v>
      </c>
      <c r="K37" s="32">
        <f t="shared" ref="K37:K60" ca="1" si="44">J37-INDIRECT("ハッサン!J"&amp;(I37+3))</f>
        <v>1718</v>
      </c>
      <c r="L37" s="32">
        <f t="shared" ref="L37:L60" ca="1" si="45">INDIRECT("ハッサン!J"&amp;(I37+4))-J37</f>
        <v>3071</v>
      </c>
      <c r="M37" s="147" t="s">
        <v>736</v>
      </c>
      <c r="N37" s="148">
        <f t="shared" si="36"/>
        <v>14</v>
      </c>
      <c r="O37" s="32">
        <f t="shared" ref="O37:O60" si="46">O36+IF(R37="○",$C37,0)</f>
        <v>14701</v>
      </c>
      <c r="P37" s="32">
        <f t="shared" ref="P37:P60" ca="1" si="47">O37-INDIRECT("ミレーユ!J"&amp;(N37+3))</f>
        <v>1978</v>
      </c>
      <c r="Q37" s="32">
        <f t="shared" ref="Q37:Q60" ca="1" si="48">INDIRECT("ミレーユ!J"&amp;(N37+4))-O37</f>
        <v>3645</v>
      </c>
      <c r="R37" s="147" t="s">
        <v>736</v>
      </c>
      <c r="S37" s="148">
        <f t="shared" si="37"/>
        <v>11</v>
      </c>
      <c r="T37" s="32">
        <f t="shared" ref="T37:T60" si="49">T36+IF(W37="○",$C37,0)</f>
        <v>15131</v>
      </c>
      <c r="U37" s="32">
        <f t="shared" ref="U37:U60" ca="1" si="50">T37-INDIRECT("バーバラ!J"&amp;(S37+3))</f>
        <v>2306</v>
      </c>
      <c r="V37" s="32">
        <f t="shared" ref="V37:V60" ca="1" si="51">INDIRECT("バーバラ!J"&amp;(S37+4))-T37</f>
        <v>1460</v>
      </c>
      <c r="W37" s="147" t="s">
        <v>736</v>
      </c>
      <c r="X37" s="148">
        <f t="shared" si="38"/>
        <v>13</v>
      </c>
      <c r="Y37" s="32">
        <f t="shared" ref="Y37:Y60" si="52">Y36+IF(AB37="○",$C37,0)</f>
        <v>13995</v>
      </c>
      <c r="Z37" s="32">
        <f t="shared" ref="Z37:Z60" ca="1" si="53">Y37-INDIRECT("チャモロ!J"&amp;(X37+3))</f>
        <v>1919</v>
      </c>
      <c r="AA37" s="32">
        <f t="shared" ref="AA37:AA60" ca="1" si="54">INDIRECT("チャモロ!J"&amp;(X37+4))-Y37</f>
        <v>2240</v>
      </c>
      <c r="AB37" s="147" t="s">
        <v>736</v>
      </c>
      <c r="AC37" s="148">
        <f t="shared" si="39"/>
        <v>16</v>
      </c>
      <c r="AD37" s="32">
        <f t="shared" ref="AD37:AD60" si="55">AD36+IF(AG37="○",$C37,0)</f>
        <v>31907</v>
      </c>
      <c r="AE37" s="32">
        <f t="shared" ref="AE37:AE60" ca="1" si="56">AD37-INDIRECT("アモス!J"&amp;(AC37+3))</f>
        <v>38</v>
      </c>
      <c r="AF37" s="32">
        <f t="shared" ref="AF37:AF60" ca="1" si="57">INDIRECT("アモス!J"&amp;(AC37+4))-AD37</f>
        <v>7767</v>
      </c>
      <c r="AG37" s="147" t="s">
        <v>736</v>
      </c>
      <c r="AH37" s="148">
        <f t="shared" si="40"/>
        <v>23</v>
      </c>
      <c r="AI37" s="32">
        <f t="shared" ref="AI37:AI60" si="58">AI36+IF(AL37="○",$C37,0)</f>
        <v>120752</v>
      </c>
      <c r="AJ37" s="32">
        <f t="shared" ref="AJ37:AJ60" ca="1" si="59">AI37-INDIRECT("テリー!J"&amp;(AH37+3))</f>
        <v>0</v>
      </c>
      <c r="AK37" s="32">
        <f t="shared" ref="AK37:AK60" ca="1" si="60">INDIRECT("テリー!J"&amp;(AH37+4))-AI37</f>
        <v>15448</v>
      </c>
      <c r="AL37" s="147"/>
      <c r="AM37" s="148">
        <f t="shared" si="41"/>
        <v>5</v>
      </c>
      <c r="AN37" s="32">
        <f t="shared" ref="AN37:AN60" si="61">AN36+IF(AQ37="○",$C37,0)</f>
        <v>39932</v>
      </c>
      <c r="AO37" s="32">
        <f t="shared" ref="AO37:AO60" ca="1" si="62">AN37-INDIRECT("ドランゴ!J"&amp;(AM37+3))</f>
        <v>0</v>
      </c>
      <c r="AP37" s="32">
        <f t="shared" ref="AP37:AP60" ca="1" si="63">INDIRECT("ドランゴ!J"&amp;(AM37+4))-AN37</f>
        <v>16575</v>
      </c>
      <c r="AQ37" s="147"/>
      <c r="AR37" s="156"/>
    </row>
    <row r="38" spans="1:44" x14ac:dyDescent="0.15">
      <c r="A38" s="134"/>
      <c r="B38" s="144" t="s">
        <v>290</v>
      </c>
      <c r="C38" s="154">
        <f t="shared" si="33"/>
        <v>250</v>
      </c>
      <c r="D38" s="142">
        <f t="shared" si="34"/>
        <v>14</v>
      </c>
      <c r="E38" s="32">
        <f t="shared" si="42"/>
        <v>17292</v>
      </c>
      <c r="F38" s="32">
        <f t="shared" ca="1" si="30"/>
        <v>4454</v>
      </c>
      <c r="G38" s="32">
        <f t="shared" ca="1" si="31"/>
        <v>46</v>
      </c>
      <c r="H38" s="147" t="s">
        <v>736</v>
      </c>
      <c r="I38" s="148">
        <f t="shared" si="35"/>
        <v>15</v>
      </c>
      <c r="J38" s="32">
        <f t="shared" si="43"/>
        <v>17157</v>
      </c>
      <c r="K38" s="32">
        <f t="shared" ca="1" si="44"/>
        <v>1968</v>
      </c>
      <c r="L38" s="32">
        <f t="shared" ca="1" si="45"/>
        <v>2821</v>
      </c>
      <c r="M38" s="147" t="s">
        <v>736</v>
      </c>
      <c r="N38" s="148">
        <f t="shared" si="36"/>
        <v>14</v>
      </c>
      <c r="O38" s="32">
        <f t="shared" si="46"/>
        <v>14951</v>
      </c>
      <c r="P38" s="32">
        <f t="shared" ca="1" si="47"/>
        <v>2228</v>
      </c>
      <c r="Q38" s="32">
        <f t="shared" ca="1" si="48"/>
        <v>3395</v>
      </c>
      <c r="R38" s="147" t="s">
        <v>736</v>
      </c>
      <c r="S38" s="148">
        <f t="shared" si="37"/>
        <v>11</v>
      </c>
      <c r="T38" s="32">
        <f t="shared" si="49"/>
        <v>15381</v>
      </c>
      <c r="U38" s="32">
        <f t="shared" ca="1" si="50"/>
        <v>2556</v>
      </c>
      <c r="V38" s="32">
        <f t="shared" ca="1" si="51"/>
        <v>1210</v>
      </c>
      <c r="W38" s="147" t="s">
        <v>736</v>
      </c>
      <c r="X38" s="148">
        <f t="shared" si="38"/>
        <v>13</v>
      </c>
      <c r="Y38" s="32">
        <f t="shared" si="52"/>
        <v>14245</v>
      </c>
      <c r="Z38" s="32">
        <f t="shared" ca="1" si="53"/>
        <v>2169</v>
      </c>
      <c r="AA38" s="32">
        <f t="shared" ca="1" si="54"/>
        <v>1990</v>
      </c>
      <c r="AB38" s="147" t="s">
        <v>736</v>
      </c>
      <c r="AC38" s="148">
        <f t="shared" si="39"/>
        <v>16</v>
      </c>
      <c r="AD38" s="32">
        <f t="shared" si="55"/>
        <v>31907</v>
      </c>
      <c r="AE38" s="32">
        <f t="shared" ca="1" si="56"/>
        <v>38</v>
      </c>
      <c r="AF38" s="32">
        <f t="shared" ca="1" si="57"/>
        <v>7767</v>
      </c>
      <c r="AG38" s="147"/>
      <c r="AH38" s="148">
        <f t="shared" si="40"/>
        <v>23</v>
      </c>
      <c r="AI38" s="32">
        <f t="shared" si="58"/>
        <v>120752</v>
      </c>
      <c r="AJ38" s="32">
        <f t="shared" ca="1" si="59"/>
        <v>0</v>
      </c>
      <c r="AK38" s="32">
        <f t="shared" ca="1" si="60"/>
        <v>15448</v>
      </c>
      <c r="AL38" s="147"/>
      <c r="AM38" s="148">
        <f t="shared" si="41"/>
        <v>5</v>
      </c>
      <c r="AN38" s="32">
        <f t="shared" si="61"/>
        <v>39932</v>
      </c>
      <c r="AO38" s="32">
        <f t="shared" ca="1" si="62"/>
        <v>0</v>
      </c>
      <c r="AP38" s="32">
        <f t="shared" ca="1" si="63"/>
        <v>16575</v>
      </c>
      <c r="AQ38" s="147"/>
      <c r="AR38" s="156"/>
    </row>
    <row r="39" spans="1:44" x14ac:dyDescent="0.15">
      <c r="A39" s="134"/>
      <c r="B39" s="144" t="s">
        <v>290</v>
      </c>
      <c r="C39" s="154">
        <f t="shared" si="33"/>
        <v>250</v>
      </c>
      <c r="D39" s="142">
        <f t="shared" si="34"/>
        <v>15</v>
      </c>
      <c r="E39" s="32">
        <f t="shared" si="42"/>
        <v>17542</v>
      </c>
      <c r="F39" s="32">
        <f t="shared" ca="1" si="30"/>
        <v>204</v>
      </c>
      <c r="G39" s="32">
        <f t="shared" ca="1" si="31"/>
        <v>4717</v>
      </c>
      <c r="H39" s="147" t="s">
        <v>736</v>
      </c>
      <c r="I39" s="148">
        <f t="shared" si="35"/>
        <v>15</v>
      </c>
      <c r="J39" s="32">
        <f t="shared" si="43"/>
        <v>17407</v>
      </c>
      <c r="K39" s="32">
        <f t="shared" ca="1" si="44"/>
        <v>2218</v>
      </c>
      <c r="L39" s="32">
        <f t="shared" ca="1" si="45"/>
        <v>2571</v>
      </c>
      <c r="M39" s="147" t="s">
        <v>736</v>
      </c>
      <c r="N39" s="148">
        <f t="shared" si="36"/>
        <v>14</v>
      </c>
      <c r="O39" s="32">
        <f t="shared" si="46"/>
        <v>15201</v>
      </c>
      <c r="P39" s="32">
        <f t="shared" ca="1" si="47"/>
        <v>2478</v>
      </c>
      <c r="Q39" s="32">
        <f t="shared" ca="1" si="48"/>
        <v>3145</v>
      </c>
      <c r="R39" s="147" t="s">
        <v>736</v>
      </c>
      <c r="S39" s="148">
        <f t="shared" si="37"/>
        <v>11</v>
      </c>
      <c r="T39" s="32">
        <f t="shared" si="49"/>
        <v>15631</v>
      </c>
      <c r="U39" s="32">
        <f t="shared" ca="1" si="50"/>
        <v>2806</v>
      </c>
      <c r="V39" s="32">
        <f t="shared" ca="1" si="51"/>
        <v>960</v>
      </c>
      <c r="W39" s="147" t="s">
        <v>736</v>
      </c>
      <c r="X39" s="148">
        <f t="shared" si="38"/>
        <v>13</v>
      </c>
      <c r="Y39" s="32">
        <f t="shared" si="52"/>
        <v>14495</v>
      </c>
      <c r="Z39" s="32">
        <f t="shared" ca="1" si="53"/>
        <v>2419</v>
      </c>
      <c r="AA39" s="32">
        <f t="shared" ca="1" si="54"/>
        <v>1740</v>
      </c>
      <c r="AB39" s="147" t="s">
        <v>736</v>
      </c>
      <c r="AC39" s="148">
        <f t="shared" si="39"/>
        <v>16</v>
      </c>
      <c r="AD39" s="32">
        <f t="shared" si="55"/>
        <v>32157</v>
      </c>
      <c r="AE39" s="32">
        <f t="shared" ca="1" si="56"/>
        <v>288</v>
      </c>
      <c r="AF39" s="32">
        <f t="shared" ca="1" si="57"/>
        <v>7517</v>
      </c>
      <c r="AG39" s="147" t="s">
        <v>736</v>
      </c>
      <c r="AH39" s="148">
        <f t="shared" si="40"/>
        <v>23</v>
      </c>
      <c r="AI39" s="32">
        <f t="shared" si="58"/>
        <v>120752</v>
      </c>
      <c r="AJ39" s="32">
        <f t="shared" ca="1" si="59"/>
        <v>0</v>
      </c>
      <c r="AK39" s="32">
        <f t="shared" ca="1" si="60"/>
        <v>15448</v>
      </c>
      <c r="AL39" s="147"/>
      <c r="AM39" s="148">
        <f t="shared" si="41"/>
        <v>5</v>
      </c>
      <c r="AN39" s="32">
        <f t="shared" si="61"/>
        <v>39932</v>
      </c>
      <c r="AO39" s="32">
        <f t="shared" ca="1" si="62"/>
        <v>0</v>
      </c>
      <c r="AP39" s="32">
        <f t="shared" ca="1" si="63"/>
        <v>16575</v>
      </c>
      <c r="AQ39" s="147"/>
      <c r="AR39" s="156"/>
    </row>
    <row r="40" spans="1:44" x14ac:dyDescent="0.15">
      <c r="A40" s="134"/>
      <c r="B40" s="144" t="s">
        <v>757</v>
      </c>
      <c r="C40" s="154">
        <f t="shared" si="33"/>
        <v>2000</v>
      </c>
      <c r="D40" s="142">
        <f t="shared" si="34"/>
        <v>15</v>
      </c>
      <c r="E40" s="32">
        <f t="shared" si="42"/>
        <v>19542</v>
      </c>
      <c r="F40" s="32">
        <f t="shared" ca="1" si="30"/>
        <v>2204</v>
      </c>
      <c r="G40" s="32">
        <f t="shared" ca="1" si="31"/>
        <v>2717</v>
      </c>
      <c r="H40" s="147" t="s">
        <v>736</v>
      </c>
      <c r="I40" s="148">
        <f t="shared" si="35"/>
        <v>15</v>
      </c>
      <c r="J40" s="32">
        <f t="shared" si="43"/>
        <v>19407</v>
      </c>
      <c r="K40" s="32">
        <f t="shared" ca="1" si="44"/>
        <v>4218</v>
      </c>
      <c r="L40" s="32">
        <f t="shared" ca="1" si="45"/>
        <v>571</v>
      </c>
      <c r="M40" s="147" t="s">
        <v>736</v>
      </c>
      <c r="N40" s="148">
        <f t="shared" si="36"/>
        <v>14</v>
      </c>
      <c r="O40" s="32">
        <f t="shared" si="46"/>
        <v>17201</v>
      </c>
      <c r="P40" s="32">
        <f t="shared" ca="1" si="47"/>
        <v>4478</v>
      </c>
      <c r="Q40" s="32">
        <f t="shared" ca="1" si="48"/>
        <v>1145</v>
      </c>
      <c r="R40" s="147" t="s">
        <v>736</v>
      </c>
      <c r="S40" s="148">
        <f t="shared" si="37"/>
        <v>12</v>
      </c>
      <c r="T40" s="32">
        <f t="shared" si="49"/>
        <v>17631</v>
      </c>
      <c r="U40" s="32">
        <f t="shared" ca="1" si="50"/>
        <v>1040</v>
      </c>
      <c r="V40" s="32">
        <f t="shared" ca="1" si="51"/>
        <v>3785</v>
      </c>
      <c r="W40" s="147" t="s">
        <v>736</v>
      </c>
      <c r="X40" s="148">
        <f t="shared" si="38"/>
        <v>14</v>
      </c>
      <c r="Y40" s="32">
        <f t="shared" si="52"/>
        <v>16495</v>
      </c>
      <c r="Z40" s="32">
        <f t="shared" ca="1" si="53"/>
        <v>260</v>
      </c>
      <c r="AA40" s="32">
        <f t="shared" ca="1" si="54"/>
        <v>4808</v>
      </c>
      <c r="AB40" s="147" t="s">
        <v>736</v>
      </c>
      <c r="AC40" s="148">
        <f t="shared" si="39"/>
        <v>16</v>
      </c>
      <c r="AD40" s="32">
        <f t="shared" si="55"/>
        <v>34157</v>
      </c>
      <c r="AE40" s="32">
        <f t="shared" ca="1" si="56"/>
        <v>2288</v>
      </c>
      <c r="AF40" s="32">
        <f t="shared" ca="1" si="57"/>
        <v>5517</v>
      </c>
      <c r="AG40" s="147" t="s">
        <v>736</v>
      </c>
      <c r="AH40" s="148">
        <f t="shared" si="40"/>
        <v>23</v>
      </c>
      <c r="AI40" s="32">
        <f t="shared" si="58"/>
        <v>120752</v>
      </c>
      <c r="AJ40" s="32">
        <f t="shared" ca="1" si="59"/>
        <v>0</v>
      </c>
      <c r="AK40" s="32">
        <f t="shared" ca="1" si="60"/>
        <v>15448</v>
      </c>
      <c r="AL40" s="147"/>
      <c r="AM40" s="148">
        <f t="shared" si="41"/>
        <v>5</v>
      </c>
      <c r="AN40" s="32">
        <f t="shared" si="61"/>
        <v>39932</v>
      </c>
      <c r="AO40" s="32">
        <f t="shared" ca="1" si="62"/>
        <v>0</v>
      </c>
      <c r="AP40" s="32">
        <f t="shared" ca="1" si="63"/>
        <v>16575</v>
      </c>
      <c r="AQ40" s="147"/>
      <c r="AR40" s="156"/>
    </row>
    <row r="41" spans="1:44" x14ac:dyDescent="0.15">
      <c r="A41" s="134"/>
      <c r="B41" s="144" t="s">
        <v>759</v>
      </c>
      <c r="C41" s="154">
        <f t="shared" si="33"/>
        <v>3700</v>
      </c>
      <c r="D41" s="142">
        <f t="shared" si="34"/>
        <v>16</v>
      </c>
      <c r="E41" s="32">
        <f t="shared" si="42"/>
        <v>23242</v>
      </c>
      <c r="F41" s="32">
        <f t="shared" ca="1" si="30"/>
        <v>983</v>
      </c>
      <c r="G41" s="32">
        <f t="shared" ca="1" si="31"/>
        <v>4399</v>
      </c>
      <c r="H41" s="147" t="s">
        <v>736</v>
      </c>
      <c r="I41" s="148">
        <f t="shared" si="35"/>
        <v>16</v>
      </c>
      <c r="J41" s="32">
        <f t="shared" si="43"/>
        <v>23107</v>
      </c>
      <c r="K41" s="32">
        <f t="shared" ca="1" si="44"/>
        <v>3129</v>
      </c>
      <c r="L41" s="32">
        <f t="shared" ca="1" si="45"/>
        <v>1809</v>
      </c>
      <c r="M41" s="147" t="s">
        <v>736</v>
      </c>
      <c r="N41" s="148">
        <f t="shared" si="36"/>
        <v>15</v>
      </c>
      <c r="O41" s="32">
        <f t="shared" si="46"/>
        <v>20901</v>
      </c>
      <c r="P41" s="32">
        <f t="shared" ca="1" si="47"/>
        <v>2555</v>
      </c>
      <c r="Q41" s="32">
        <f t="shared" ca="1" si="48"/>
        <v>3419</v>
      </c>
      <c r="R41" s="147" t="s">
        <v>736</v>
      </c>
      <c r="S41" s="148">
        <f t="shared" si="37"/>
        <v>12</v>
      </c>
      <c r="T41" s="32">
        <f t="shared" si="49"/>
        <v>21331</v>
      </c>
      <c r="U41" s="32">
        <f t="shared" ca="1" si="50"/>
        <v>4740</v>
      </c>
      <c r="V41" s="32">
        <f t="shared" ca="1" si="51"/>
        <v>85</v>
      </c>
      <c r="W41" s="147" t="s">
        <v>736</v>
      </c>
      <c r="X41" s="148">
        <f t="shared" si="38"/>
        <v>14</v>
      </c>
      <c r="Y41" s="32">
        <f t="shared" si="52"/>
        <v>20195</v>
      </c>
      <c r="Z41" s="32">
        <f t="shared" ca="1" si="53"/>
        <v>3960</v>
      </c>
      <c r="AA41" s="32">
        <f t="shared" ca="1" si="54"/>
        <v>1108</v>
      </c>
      <c r="AB41" s="147" t="s">
        <v>736</v>
      </c>
      <c r="AC41" s="148">
        <f t="shared" si="39"/>
        <v>16</v>
      </c>
      <c r="AD41" s="32">
        <f t="shared" si="55"/>
        <v>37857</v>
      </c>
      <c r="AE41" s="32">
        <f t="shared" ca="1" si="56"/>
        <v>5988</v>
      </c>
      <c r="AF41" s="32">
        <f t="shared" ca="1" si="57"/>
        <v>1817</v>
      </c>
      <c r="AG41" s="147" t="s">
        <v>736</v>
      </c>
      <c r="AH41" s="148">
        <f t="shared" si="40"/>
        <v>23</v>
      </c>
      <c r="AI41" s="32">
        <f t="shared" si="58"/>
        <v>120752</v>
      </c>
      <c r="AJ41" s="32">
        <f t="shared" ca="1" si="59"/>
        <v>0</v>
      </c>
      <c r="AK41" s="32">
        <f t="shared" ca="1" si="60"/>
        <v>15448</v>
      </c>
      <c r="AL41" s="147"/>
      <c r="AM41" s="148">
        <f t="shared" si="41"/>
        <v>5</v>
      </c>
      <c r="AN41" s="32">
        <f t="shared" si="61"/>
        <v>39932</v>
      </c>
      <c r="AO41" s="32">
        <f t="shared" ca="1" si="62"/>
        <v>0</v>
      </c>
      <c r="AP41" s="32">
        <f t="shared" ca="1" si="63"/>
        <v>16575</v>
      </c>
      <c r="AQ41" s="147"/>
      <c r="AR41" s="156"/>
    </row>
    <row r="42" spans="1:44" x14ac:dyDescent="0.15">
      <c r="A42" s="134"/>
      <c r="B42" s="144" t="s">
        <v>760</v>
      </c>
      <c r="C42" s="154">
        <v>5680</v>
      </c>
      <c r="D42" s="142">
        <f t="shared" si="34"/>
        <v>17</v>
      </c>
      <c r="E42" s="32">
        <f t="shared" si="42"/>
        <v>28922</v>
      </c>
      <c r="F42" s="32">
        <f t="shared" ca="1" si="30"/>
        <v>1281</v>
      </c>
      <c r="G42" s="32">
        <f t="shared" ca="1" si="31"/>
        <v>4605</v>
      </c>
      <c r="H42" s="147" t="s">
        <v>736</v>
      </c>
      <c r="I42" s="148">
        <f t="shared" si="35"/>
        <v>17</v>
      </c>
      <c r="J42" s="32">
        <f t="shared" si="43"/>
        <v>28787</v>
      </c>
      <c r="K42" s="32">
        <f t="shared" ca="1" si="44"/>
        <v>3871</v>
      </c>
      <c r="L42" s="32">
        <f t="shared" ca="1" si="45"/>
        <v>1221</v>
      </c>
      <c r="M42" s="147" t="s">
        <v>736</v>
      </c>
      <c r="N42" s="148">
        <f t="shared" si="36"/>
        <v>16</v>
      </c>
      <c r="O42" s="32">
        <f t="shared" si="46"/>
        <v>26581</v>
      </c>
      <c r="P42" s="32">
        <f t="shared" ca="1" si="47"/>
        <v>2261</v>
      </c>
      <c r="Q42" s="32">
        <f t="shared" ca="1" si="48"/>
        <v>4086</v>
      </c>
      <c r="R42" s="147" t="s">
        <v>736</v>
      </c>
      <c r="S42" s="148">
        <f t="shared" si="37"/>
        <v>13</v>
      </c>
      <c r="T42" s="32">
        <f t="shared" si="49"/>
        <v>27011</v>
      </c>
      <c r="U42" s="32">
        <f t="shared" ca="1" si="50"/>
        <v>5595</v>
      </c>
      <c r="V42" s="32">
        <f t="shared" ca="1" si="51"/>
        <v>587</v>
      </c>
      <c r="W42" s="147" t="s">
        <v>736</v>
      </c>
      <c r="X42" s="148">
        <f t="shared" si="38"/>
        <v>15</v>
      </c>
      <c r="Y42" s="32">
        <f t="shared" si="52"/>
        <v>25875</v>
      </c>
      <c r="Z42" s="32">
        <f t="shared" ca="1" si="53"/>
        <v>4572</v>
      </c>
      <c r="AA42" s="32">
        <f t="shared" ca="1" si="54"/>
        <v>971</v>
      </c>
      <c r="AB42" s="147" t="s">
        <v>736</v>
      </c>
      <c r="AC42" s="148">
        <f t="shared" si="39"/>
        <v>17</v>
      </c>
      <c r="AD42" s="32">
        <f t="shared" si="55"/>
        <v>43537</v>
      </c>
      <c r="AE42" s="32">
        <f t="shared" ca="1" si="56"/>
        <v>3863</v>
      </c>
      <c r="AF42" s="32">
        <f t="shared" ca="1" si="57"/>
        <v>4185</v>
      </c>
      <c r="AG42" s="147" t="s">
        <v>736</v>
      </c>
      <c r="AH42" s="148">
        <f t="shared" si="40"/>
        <v>23</v>
      </c>
      <c r="AI42" s="32">
        <f t="shared" si="58"/>
        <v>120752</v>
      </c>
      <c r="AJ42" s="32">
        <f t="shared" ca="1" si="59"/>
        <v>0</v>
      </c>
      <c r="AK42" s="32">
        <f t="shared" ca="1" si="60"/>
        <v>15448</v>
      </c>
      <c r="AL42" s="147"/>
      <c r="AM42" s="148">
        <f t="shared" si="41"/>
        <v>5</v>
      </c>
      <c r="AN42" s="32">
        <f t="shared" si="61"/>
        <v>39932</v>
      </c>
      <c r="AO42" s="32">
        <f t="shared" ca="1" si="62"/>
        <v>0</v>
      </c>
      <c r="AP42" s="32">
        <f t="shared" ca="1" si="63"/>
        <v>16575</v>
      </c>
      <c r="AQ42" s="147"/>
      <c r="AR42" s="156"/>
    </row>
    <row r="43" spans="1:44" x14ac:dyDescent="0.15">
      <c r="A43" s="134"/>
      <c r="B43" s="144" t="s">
        <v>762</v>
      </c>
      <c r="C43" s="154">
        <f t="shared" ref="C43:C51" si="64">IFERROR(VLOOKUP($B43,ボス,8,0),"")</f>
        <v>1800</v>
      </c>
      <c r="D43" s="142">
        <f t="shared" si="34"/>
        <v>17</v>
      </c>
      <c r="E43" s="32">
        <f t="shared" si="42"/>
        <v>30722</v>
      </c>
      <c r="F43" s="32">
        <f t="shared" ca="1" si="30"/>
        <v>3081</v>
      </c>
      <c r="G43" s="32">
        <f t="shared" ca="1" si="31"/>
        <v>2805</v>
      </c>
      <c r="H43" s="147" t="s">
        <v>736</v>
      </c>
      <c r="I43" s="148">
        <f t="shared" si="35"/>
        <v>18</v>
      </c>
      <c r="J43" s="32">
        <f t="shared" si="43"/>
        <v>30587</v>
      </c>
      <c r="K43" s="32">
        <f t="shared" ca="1" si="44"/>
        <v>579</v>
      </c>
      <c r="L43" s="32">
        <f t="shared" ca="1" si="45"/>
        <v>4672</v>
      </c>
      <c r="M43" s="147" t="s">
        <v>736</v>
      </c>
      <c r="N43" s="148">
        <f t="shared" si="36"/>
        <v>16</v>
      </c>
      <c r="O43" s="32">
        <f t="shared" si="46"/>
        <v>28381</v>
      </c>
      <c r="P43" s="32">
        <f t="shared" ca="1" si="47"/>
        <v>4061</v>
      </c>
      <c r="Q43" s="32">
        <f t="shared" ca="1" si="48"/>
        <v>2286</v>
      </c>
      <c r="R43" s="147" t="s">
        <v>736</v>
      </c>
      <c r="S43" s="148">
        <f t="shared" si="37"/>
        <v>14</v>
      </c>
      <c r="T43" s="32">
        <f t="shared" si="49"/>
        <v>28811</v>
      </c>
      <c r="U43" s="32">
        <f t="shared" ca="1" si="50"/>
        <v>1213</v>
      </c>
      <c r="V43" s="32">
        <f t="shared" ca="1" si="51"/>
        <v>6707</v>
      </c>
      <c r="W43" s="147" t="s">
        <v>736</v>
      </c>
      <c r="X43" s="148">
        <f t="shared" si="38"/>
        <v>16</v>
      </c>
      <c r="Y43" s="32">
        <f t="shared" si="52"/>
        <v>27675</v>
      </c>
      <c r="Z43" s="32">
        <f t="shared" ca="1" si="53"/>
        <v>829</v>
      </c>
      <c r="AA43" s="32">
        <f t="shared" ca="1" si="54"/>
        <v>5233</v>
      </c>
      <c r="AB43" s="147" t="s">
        <v>736</v>
      </c>
      <c r="AC43" s="148">
        <f t="shared" si="39"/>
        <v>17</v>
      </c>
      <c r="AD43" s="32">
        <f t="shared" si="55"/>
        <v>45337</v>
      </c>
      <c r="AE43" s="32">
        <f t="shared" ca="1" si="56"/>
        <v>5663</v>
      </c>
      <c r="AF43" s="32">
        <f t="shared" ca="1" si="57"/>
        <v>2385</v>
      </c>
      <c r="AG43" s="147" t="s">
        <v>736</v>
      </c>
      <c r="AH43" s="148">
        <f t="shared" si="40"/>
        <v>23</v>
      </c>
      <c r="AI43" s="32">
        <f t="shared" si="58"/>
        <v>120752</v>
      </c>
      <c r="AJ43" s="32">
        <f t="shared" ca="1" si="59"/>
        <v>0</v>
      </c>
      <c r="AK43" s="32">
        <f t="shared" ca="1" si="60"/>
        <v>15448</v>
      </c>
      <c r="AL43" s="147"/>
      <c r="AM43" s="148">
        <f t="shared" si="41"/>
        <v>5</v>
      </c>
      <c r="AN43" s="32">
        <f t="shared" si="61"/>
        <v>39932</v>
      </c>
      <c r="AO43" s="32">
        <f t="shared" ca="1" si="62"/>
        <v>0</v>
      </c>
      <c r="AP43" s="32">
        <f t="shared" ca="1" si="63"/>
        <v>16575</v>
      </c>
      <c r="AQ43" s="147"/>
      <c r="AR43" s="156"/>
    </row>
    <row r="44" spans="1:44" x14ac:dyDescent="0.15">
      <c r="A44" s="134"/>
      <c r="B44" s="144" t="s">
        <v>297</v>
      </c>
      <c r="C44" s="154">
        <f t="shared" si="64"/>
        <v>2200</v>
      </c>
      <c r="D44" s="142">
        <f t="shared" si="34"/>
        <v>17</v>
      </c>
      <c r="E44" s="32">
        <f t="shared" si="42"/>
        <v>32922</v>
      </c>
      <c r="F44" s="32">
        <f t="shared" ca="1" si="30"/>
        <v>5281</v>
      </c>
      <c r="G44" s="32">
        <f t="shared" ca="1" si="31"/>
        <v>605</v>
      </c>
      <c r="H44" s="147" t="s">
        <v>736</v>
      </c>
      <c r="I44" s="148">
        <f t="shared" si="35"/>
        <v>18</v>
      </c>
      <c r="J44" s="32">
        <f t="shared" si="43"/>
        <v>32787</v>
      </c>
      <c r="K44" s="32">
        <f t="shared" ca="1" si="44"/>
        <v>2779</v>
      </c>
      <c r="L44" s="32">
        <f t="shared" ca="1" si="45"/>
        <v>2472</v>
      </c>
      <c r="M44" s="147" t="s">
        <v>736</v>
      </c>
      <c r="N44" s="148">
        <f t="shared" si="36"/>
        <v>16</v>
      </c>
      <c r="O44" s="32">
        <f t="shared" si="46"/>
        <v>30581</v>
      </c>
      <c r="P44" s="32">
        <f t="shared" ca="1" si="47"/>
        <v>6261</v>
      </c>
      <c r="Q44" s="32">
        <f t="shared" ca="1" si="48"/>
        <v>86</v>
      </c>
      <c r="R44" s="147" t="s">
        <v>736</v>
      </c>
      <c r="S44" s="148">
        <f t="shared" si="37"/>
        <v>14</v>
      </c>
      <c r="T44" s="32">
        <f t="shared" si="49"/>
        <v>31011</v>
      </c>
      <c r="U44" s="32">
        <f t="shared" ca="1" si="50"/>
        <v>3413</v>
      </c>
      <c r="V44" s="32">
        <f t="shared" ca="1" si="51"/>
        <v>4507</v>
      </c>
      <c r="W44" s="147" t="s">
        <v>736</v>
      </c>
      <c r="X44" s="148">
        <f t="shared" si="38"/>
        <v>16</v>
      </c>
      <c r="Y44" s="32">
        <f t="shared" si="52"/>
        <v>29875</v>
      </c>
      <c r="Z44" s="32">
        <f t="shared" ca="1" si="53"/>
        <v>3029</v>
      </c>
      <c r="AA44" s="32">
        <f t="shared" ca="1" si="54"/>
        <v>3033</v>
      </c>
      <c r="AB44" s="147" t="s">
        <v>736</v>
      </c>
      <c r="AC44" s="148">
        <f t="shared" si="39"/>
        <v>17</v>
      </c>
      <c r="AD44" s="32">
        <f t="shared" si="55"/>
        <v>47537</v>
      </c>
      <c r="AE44" s="32">
        <f t="shared" ca="1" si="56"/>
        <v>7863</v>
      </c>
      <c r="AF44" s="32">
        <f t="shared" ca="1" si="57"/>
        <v>185</v>
      </c>
      <c r="AG44" s="147" t="s">
        <v>736</v>
      </c>
      <c r="AH44" s="148">
        <f t="shared" si="40"/>
        <v>23</v>
      </c>
      <c r="AI44" s="32">
        <f t="shared" si="58"/>
        <v>120752</v>
      </c>
      <c r="AJ44" s="32">
        <f t="shared" ca="1" si="59"/>
        <v>0</v>
      </c>
      <c r="AK44" s="32">
        <f t="shared" ca="1" si="60"/>
        <v>15448</v>
      </c>
      <c r="AL44" s="147"/>
      <c r="AM44" s="148">
        <f t="shared" si="41"/>
        <v>5</v>
      </c>
      <c r="AN44" s="32">
        <f t="shared" si="61"/>
        <v>39932</v>
      </c>
      <c r="AO44" s="32">
        <f t="shared" ca="1" si="62"/>
        <v>0</v>
      </c>
      <c r="AP44" s="32">
        <f t="shared" ca="1" si="63"/>
        <v>16575</v>
      </c>
      <c r="AQ44" s="147"/>
      <c r="AR44" s="156"/>
    </row>
    <row r="45" spans="1:44" x14ac:dyDescent="0.15">
      <c r="A45" s="134"/>
      <c r="B45" s="144" t="s">
        <v>763</v>
      </c>
      <c r="C45" s="154">
        <f t="shared" si="64"/>
        <v>1100</v>
      </c>
      <c r="D45" s="142">
        <f t="shared" si="34"/>
        <v>18</v>
      </c>
      <c r="E45" s="32">
        <f t="shared" si="42"/>
        <v>34022</v>
      </c>
      <c r="F45" s="32">
        <f t="shared" ca="1" si="30"/>
        <v>495</v>
      </c>
      <c r="G45" s="32">
        <f t="shared" ca="1" si="31"/>
        <v>5942</v>
      </c>
      <c r="H45" s="147" t="s">
        <v>736</v>
      </c>
      <c r="I45" s="148">
        <f t="shared" si="35"/>
        <v>18</v>
      </c>
      <c r="J45" s="32">
        <f t="shared" si="43"/>
        <v>33887</v>
      </c>
      <c r="K45" s="32">
        <f t="shared" ca="1" si="44"/>
        <v>3879</v>
      </c>
      <c r="L45" s="32">
        <f t="shared" ca="1" si="45"/>
        <v>1372</v>
      </c>
      <c r="M45" s="147" t="s">
        <v>736</v>
      </c>
      <c r="N45" s="148">
        <f t="shared" si="36"/>
        <v>17</v>
      </c>
      <c r="O45" s="32">
        <f t="shared" si="46"/>
        <v>31681</v>
      </c>
      <c r="P45" s="32">
        <f t="shared" ca="1" si="47"/>
        <v>1014</v>
      </c>
      <c r="Q45" s="32">
        <f t="shared" ca="1" si="48"/>
        <v>5729</v>
      </c>
      <c r="R45" s="147" t="s">
        <v>736</v>
      </c>
      <c r="S45" s="148">
        <f t="shared" si="37"/>
        <v>14</v>
      </c>
      <c r="T45" s="32">
        <f t="shared" si="49"/>
        <v>32111</v>
      </c>
      <c r="U45" s="32">
        <f t="shared" ca="1" si="50"/>
        <v>4513</v>
      </c>
      <c r="V45" s="32">
        <f t="shared" ca="1" si="51"/>
        <v>3407</v>
      </c>
      <c r="W45" s="147" t="s">
        <v>736</v>
      </c>
      <c r="X45" s="148">
        <f t="shared" si="38"/>
        <v>16</v>
      </c>
      <c r="Y45" s="32">
        <f t="shared" si="52"/>
        <v>30975</v>
      </c>
      <c r="Z45" s="32">
        <f t="shared" ca="1" si="53"/>
        <v>4129</v>
      </c>
      <c r="AA45" s="32">
        <f t="shared" ca="1" si="54"/>
        <v>1933</v>
      </c>
      <c r="AB45" s="147" t="s">
        <v>736</v>
      </c>
      <c r="AC45" s="148">
        <f t="shared" si="39"/>
        <v>18</v>
      </c>
      <c r="AD45" s="32">
        <f t="shared" si="55"/>
        <v>48637</v>
      </c>
      <c r="AE45" s="32">
        <f t="shared" ca="1" si="56"/>
        <v>915</v>
      </c>
      <c r="AF45" s="32">
        <f t="shared" ca="1" si="57"/>
        <v>7384</v>
      </c>
      <c r="AG45" s="147" t="s">
        <v>736</v>
      </c>
      <c r="AH45" s="148">
        <f t="shared" si="40"/>
        <v>23</v>
      </c>
      <c r="AI45" s="32">
        <f t="shared" si="58"/>
        <v>120752</v>
      </c>
      <c r="AJ45" s="32">
        <f t="shared" ca="1" si="59"/>
        <v>0</v>
      </c>
      <c r="AK45" s="32">
        <f t="shared" ca="1" si="60"/>
        <v>15448</v>
      </c>
      <c r="AL45" s="147"/>
      <c r="AM45" s="148">
        <f t="shared" si="41"/>
        <v>5</v>
      </c>
      <c r="AN45" s="32">
        <f t="shared" si="61"/>
        <v>39932</v>
      </c>
      <c r="AO45" s="32">
        <f t="shared" ca="1" si="62"/>
        <v>0</v>
      </c>
      <c r="AP45" s="32">
        <f t="shared" ca="1" si="63"/>
        <v>16575</v>
      </c>
      <c r="AQ45" s="147"/>
      <c r="AR45" s="156"/>
    </row>
    <row r="46" spans="1:44" x14ac:dyDescent="0.15">
      <c r="A46" s="134"/>
      <c r="B46" s="144" t="s">
        <v>338</v>
      </c>
      <c r="C46" s="154">
        <f t="shared" si="64"/>
        <v>420</v>
      </c>
      <c r="D46" s="142">
        <f t="shared" si="34"/>
        <v>18</v>
      </c>
      <c r="E46" s="32">
        <f t="shared" si="42"/>
        <v>34442</v>
      </c>
      <c r="F46" s="32">
        <f t="shared" ca="1" si="30"/>
        <v>915</v>
      </c>
      <c r="G46" s="32">
        <f t="shared" ca="1" si="31"/>
        <v>5522</v>
      </c>
      <c r="H46" s="147" t="s">
        <v>736</v>
      </c>
      <c r="I46" s="148">
        <f t="shared" si="35"/>
        <v>18</v>
      </c>
      <c r="J46" s="32">
        <f t="shared" si="43"/>
        <v>34307</v>
      </c>
      <c r="K46" s="32">
        <f t="shared" ca="1" si="44"/>
        <v>4299</v>
      </c>
      <c r="L46" s="32">
        <f t="shared" ca="1" si="45"/>
        <v>952</v>
      </c>
      <c r="M46" s="147" t="s">
        <v>736</v>
      </c>
      <c r="N46" s="148">
        <f t="shared" si="36"/>
        <v>17</v>
      </c>
      <c r="O46" s="32">
        <f t="shared" si="46"/>
        <v>32101</v>
      </c>
      <c r="P46" s="32">
        <f t="shared" ca="1" si="47"/>
        <v>1434</v>
      </c>
      <c r="Q46" s="32">
        <f t="shared" ca="1" si="48"/>
        <v>5309</v>
      </c>
      <c r="R46" s="147" t="s">
        <v>736</v>
      </c>
      <c r="S46" s="148">
        <f t="shared" si="37"/>
        <v>14</v>
      </c>
      <c r="T46" s="32">
        <f t="shared" si="49"/>
        <v>32531</v>
      </c>
      <c r="U46" s="32">
        <f t="shared" ca="1" si="50"/>
        <v>4933</v>
      </c>
      <c r="V46" s="32">
        <f t="shared" ca="1" si="51"/>
        <v>2987</v>
      </c>
      <c r="W46" s="147" t="s">
        <v>736</v>
      </c>
      <c r="X46" s="148">
        <f t="shared" si="38"/>
        <v>16</v>
      </c>
      <c r="Y46" s="32">
        <f t="shared" si="52"/>
        <v>31395</v>
      </c>
      <c r="Z46" s="32">
        <f t="shared" ca="1" si="53"/>
        <v>4549</v>
      </c>
      <c r="AA46" s="32">
        <f t="shared" ca="1" si="54"/>
        <v>1513</v>
      </c>
      <c r="AB46" s="147" t="s">
        <v>736</v>
      </c>
      <c r="AC46" s="148">
        <f t="shared" si="39"/>
        <v>18</v>
      </c>
      <c r="AD46" s="32">
        <f t="shared" si="55"/>
        <v>49057</v>
      </c>
      <c r="AE46" s="32">
        <f t="shared" ca="1" si="56"/>
        <v>1335</v>
      </c>
      <c r="AF46" s="32">
        <f t="shared" ca="1" si="57"/>
        <v>6964</v>
      </c>
      <c r="AG46" s="147" t="s">
        <v>736</v>
      </c>
      <c r="AH46" s="148">
        <f t="shared" si="40"/>
        <v>23</v>
      </c>
      <c r="AI46" s="32">
        <f t="shared" si="58"/>
        <v>120752</v>
      </c>
      <c r="AJ46" s="32">
        <f t="shared" ca="1" si="59"/>
        <v>0</v>
      </c>
      <c r="AK46" s="32">
        <f t="shared" ca="1" si="60"/>
        <v>15448</v>
      </c>
      <c r="AL46" s="147"/>
      <c r="AM46" s="148">
        <f t="shared" si="41"/>
        <v>5</v>
      </c>
      <c r="AN46" s="32">
        <f t="shared" si="61"/>
        <v>39932</v>
      </c>
      <c r="AO46" s="32">
        <f t="shared" ca="1" si="62"/>
        <v>0</v>
      </c>
      <c r="AP46" s="32">
        <f t="shared" ca="1" si="63"/>
        <v>16575</v>
      </c>
      <c r="AQ46" s="147"/>
      <c r="AR46" s="156"/>
    </row>
    <row r="47" spans="1:44" x14ac:dyDescent="0.15">
      <c r="A47" s="134"/>
      <c r="B47" s="144" t="s">
        <v>764</v>
      </c>
      <c r="C47" s="154">
        <f t="shared" si="64"/>
        <v>1300</v>
      </c>
      <c r="D47" s="142">
        <f t="shared" si="34"/>
        <v>18</v>
      </c>
      <c r="E47" s="32">
        <f t="shared" si="42"/>
        <v>35742</v>
      </c>
      <c r="F47" s="32">
        <f t="shared" ca="1" si="30"/>
        <v>2215</v>
      </c>
      <c r="G47" s="32">
        <f t="shared" ca="1" si="31"/>
        <v>4222</v>
      </c>
      <c r="H47" s="147" t="s">
        <v>736</v>
      </c>
      <c r="I47" s="148">
        <f t="shared" si="35"/>
        <v>19</v>
      </c>
      <c r="J47" s="32">
        <f t="shared" si="43"/>
        <v>35607</v>
      </c>
      <c r="K47" s="32">
        <f t="shared" ca="1" si="44"/>
        <v>348</v>
      </c>
      <c r="L47" s="32">
        <f t="shared" ca="1" si="45"/>
        <v>5067</v>
      </c>
      <c r="M47" s="147" t="s">
        <v>736</v>
      </c>
      <c r="N47" s="148">
        <f t="shared" si="36"/>
        <v>17</v>
      </c>
      <c r="O47" s="32">
        <f t="shared" si="46"/>
        <v>33401</v>
      </c>
      <c r="P47" s="32">
        <f t="shared" ca="1" si="47"/>
        <v>2734</v>
      </c>
      <c r="Q47" s="32">
        <f t="shared" ca="1" si="48"/>
        <v>4009</v>
      </c>
      <c r="R47" s="147" t="s">
        <v>736</v>
      </c>
      <c r="S47" s="148">
        <f t="shared" si="37"/>
        <v>14</v>
      </c>
      <c r="T47" s="32">
        <f t="shared" si="49"/>
        <v>32531</v>
      </c>
      <c r="U47" s="32">
        <f t="shared" ca="1" si="50"/>
        <v>4933</v>
      </c>
      <c r="V47" s="32">
        <f t="shared" ca="1" si="51"/>
        <v>2987</v>
      </c>
      <c r="W47" s="147"/>
      <c r="X47" s="148">
        <f t="shared" si="38"/>
        <v>16</v>
      </c>
      <c r="Y47" s="32">
        <f t="shared" si="52"/>
        <v>32695</v>
      </c>
      <c r="Z47" s="32">
        <f t="shared" ca="1" si="53"/>
        <v>5849</v>
      </c>
      <c r="AA47" s="32">
        <f t="shared" ca="1" si="54"/>
        <v>213</v>
      </c>
      <c r="AB47" s="147" t="s">
        <v>736</v>
      </c>
      <c r="AC47" s="148">
        <f t="shared" si="39"/>
        <v>18</v>
      </c>
      <c r="AD47" s="32">
        <f t="shared" si="55"/>
        <v>50357</v>
      </c>
      <c r="AE47" s="32">
        <f t="shared" ca="1" si="56"/>
        <v>2635</v>
      </c>
      <c r="AF47" s="32">
        <f t="shared" ca="1" si="57"/>
        <v>5664</v>
      </c>
      <c r="AG47" s="147" t="s">
        <v>736</v>
      </c>
      <c r="AH47" s="148">
        <f t="shared" si="40"/>
        <v>23</v>
      </c>
      <c r="AI47" s="32">
        <f t="shared" si="58"/>
        <v>120752</v>
      </c>
      <c r="AJ47" s="32">
        <f t="shared" ca="1" si="59"/>
        <v>0</v>
      </c>
      <c r="AK47" s="32">
        <f t="shared" ca="1" si="60"/>
        <v>15448</v>
      </c>
      <c r="AL47" s="147"/>
      <c r="AM47" s="148">
        <f t="shared" si="41"/>
        <v>5</v>
      </c>
      <c r="AN47" s="32">
        <f t="shared" si="61"/>
        <v>39932</v>
      </c>
      <c r="AO47" s="32">
        <f t="shared" ca="1" si="62"/>
        <v>0</v>
      </c>
      <c r="AP47" s="32">
        <f t="shared" ca="1" si="63"/>
        <v>16575</v>
      </c>
      <c r="AQ47" s="147"/>
      <c r="AR47" s="156"/>
    </row>
    <row r="48" spans="1:44" x14ac:dyDescent="0.15">
      <c r="A48" s="134"/>
      <c r="B48" s="144" t="s">
        <v>765</v>
      </c>
      <c r="C48" s="154">
        <f t="shared" si="64"/>
        <v>5500</v>
      </c>
      <c r="D48" s="142">
        <f t="shared" si="34"/>
        <v>19</v>
      </c>
      <c r="E48" s="32">
        <f t="shared" si="42"/>
        <v>41242</v>
      </c>
      <c r="F48" s="32">
        <f t="shared" ca="1" si="30"/>
        <v>1278</v>
      </c>
      <c r="G48" s="32">
        <f t="shared" ca="1" si="31"/>
        <v>5762</v>
      </c>
      <c r="H48" s="147" t="s">
        <v>736</v>
      </c>
      <c r="I48" s="148">
        <f t="shared" si="35"/>
        <v>20</v>
      </c>
      <c r="J48" s="32">
        <f t="shared" si="43"/>
        <v>41107</v>
      </c>
      <c r="K48" s="32">
        <f t="shared" ca="1" si="44"/>
        <v>433</v>
      </c>
      <c r="L48" s="32">
        <f t="shared" ca="1" si="45"/>
        <v>5828</v>
      </c>
      <c r="M48" s="147" t="s">
        <v>736</v>
      </c>
      <c r="N48" s="148">
        <f t="shared" si="36"/>
        <v>18</v>
      </c>
      <c r="O48" s="32">
        <f t="shared" si="46"/>
        <v>38901</v>
      </c>
      <c r="P48" s="32">
        <f t="shared" ca="1" si="47"/>
        <v>1491</v>
      </c>
      <c r="Q48" s="32">
        <f t="shared" ca="1" si="48"/>
        <v>5673</v>
      </c>
      <c r="R48" s="147" t="s">
        <v>736</v>
      </c>
      <c r="S48" s="148">
        <f t="shared" si="37"/>
        <v>15</v>
      </c>
      <c r="T48" s="32">
        <f t="shared" si="49"/>
        <v>38031</v>
      </c>
      <c r="U48" s="32">
        <f t="shared" ca="1" si="50"/>
        <v>2513</v>
      </c>
      <c r="V48" s="32">
        <f t="shared" ca="1" si="51"/>
        <v>6149</v>
      </c>
      <c r="W48" s="147" t="s">
        <v>736</v>
      </c>
      <c r="X48" s="148">
        <f t="shared" si="38"/>
        <v>17</v>
      </c>
      <c r="Y48" s="32">
        <f t="shared" si="52"/>
        <v>38195</v>
      </c>
      <c r="Z48" s="32">
        <f t="shared" ca="1" si="53"/>
        <v>5287</v>
      </c>
      <c r="AA48" s="32">
        <f t="shared" ca="1" si="54"/>
        <v>1343</v>
      </c>
      <c r="AB48" s="147" t="s">
        <v>736</v>
      </c>
      <c r="AC48" s="148">
        <f t="shared" si="39"/>
        <v>18</v>
      </c>
      <c r="AD48" s="32">
        <f t="shared" si="55"/>
        <v>55857</v>
      </c>
      <c r="AE48" s="32">
        <f t="shared" ca="1" si="56"/>
        <v>8135</v>
      </c>
      <c r="AF48" s="32">
        <f t="shared" ca="1" si="57"/>
        <v>164</v>
      </c>
      <c r="AG48" s="147" t="s">
        <v>736</v>
      </c>
      <c r="AH48" s="148">
        <f t="shared" si="40"/>
        <v>23</v>
      </c>
      <c r="AI48" s="32">
        <f t="shared" si="58"/>
        <v>120752</v>
      </c>
      <c r="AJ48" s="32">
        <f t="shared" ca="1" si="59"/>
        <v>0</v>
      </c>
      <c r="AK48" s="32">
        <f t="shared" ca="1" si="60"/>
        <v>15448</v>
      </c>
      <c r="AL48" s="147"/>
      <c r="AM48" s="148">
        <f t="shared" si="41"/>
        <v>5</v>
      </c>
      <c r="AN48" s="32">
        <f t="shared" si="61"/>
        <v>39932</v>
      </c>
      <c r="AO48" s="32">
        <f t="shared" ca="1" si="62"/>
        <v>0</v>
      </c>
      <c r="AP48" s="32">
        <f t="shared" ca="1" si="63"/>
        <v>16575</v>
      </c>
      <c r="AQ48" s="147"/>
      <c r="AR48" s="156"/>
    </row>
    <row r="49" spans="1:44" x14ac:dyDescent="0.15">
      <c r="A49" s="134"/>
      <c r="B49" s="144" t="s">
        <v>766</v>
      </c>
      <c r="C49" s="154">
        <f t="shared" si="64"/>
        <v>920</v>
      </c>
      <c r="D49" s="142">
        <f t="shared" si="34"/>
        <v>19</v>
      </c>
      <c r="E49" s="32">
        <f t="shared" si="42"/>
        <v>42162</v>
      </c>
      <c r="F49" s="32">
        <f t="shared" ca="1" si="30"/>
        <v>2198</v>
      </c>
      <c r="G49" s="32">
        <f t="shared" ca="1" si="31"/>
        <v>4842</v>
      </c>
      <c r="H49" s="147" t="s">
        <v>736</v>
      </c>
      <c r="I49" s="148">
        <f t="shared" si="35"/>
        <v>20</v>
      </c>
      <c r="J49" s="32">
        <f t="shared" si="43"/>
        <v>42027</v>
      </c>
      <c r="K49" s="32">
        <f t="shared" ca="1" si="44"/>
        <v>1353</v>
      </c>
      <c r="L49" s="32">
        <f t="shared" ca="1" si="45"/>
        <v>4908</v>
      </c>
      <c r="M49" s="147" t="s">
        <v>736</v>
      </c>
      <c r="N49" s="148">
        <f t="shared" si="36"/>
        <v>18</v>
      </c>
      <c r="O49" s="32">
        <f t="shared" si="46"/>
        <v>39821</v>
      </c>
      <c r="P49" s="32">
        <f t="shared" ca="1" si="47"/>
        <v>2411</v>
      </c>
      <c r="Q49" s="32">
        <f t="shared" ca="1" si="48"/>
        <v>4753</v>
      </c>
      <c r="R49" s="147" t="s">
        <v>736</v>
      </c>
      <c r="S49" s="148">
        <f t="shared" si="37"/>
        <v>15</v>
      </c>
      <c r="T49" s="32">
        <f t="shared" si="49"/>
        <v>38951</v>
      </c>
      <c r="U49" s="32">
        <f t="shared" ca="1" si="50"/>
        <v>3433</v>
      </c>
      <c r="V49" s="32">
        <f t="shared" ca="1" si="51"/>
        <v>5229</v>
      </c>
      <c r="W49" s="147" t="s">
        <v>736</v>
      </c>
      <c r="X49" s="148">
        <f t="shared" si="38"/>
        <v>17</v>
      </c>
      <c r="Y49" s="32">
        <f t="shared" si="52"/>
        <v>39115</v>
      </c>
      <c r="Z49" s="32">
        <f t="shared" ca="1" si="53"/>
        <v>6207</v>
      </c>
      <c r="AA49" s="32">
        <f t="shared" ca="1" si="54"/>
        <v>423</v>
      </c>
      <c r="AB49" s="147" t="s">
        <v>736</v>
      </c>
      <c r="AC49" s="148">
        <f t="shared" si="39"/>
        <v>19</v>
      </c>
      <c r="AD49" s="32">
        <f t="shared" si="55"/>
        <v>56777</v>
      </c>
      <c r="AE49" s="32">
        <f t="shared" ca="1" si="56"/>
        <v>756</v>
      </c>
      <c r="AF49" s="32">
        <f t="shared" ca="1" si="57"/>
        <v>7802</v>
      </c>
      <c r="AG49" s="147" t="s">
        <v>736</v>
      </c>
      <c r="AH49" s="148">
        <f t="shared" si="40"/>
        <v>23</v>
      </c>
      <c r="AI49" s="32">
        <f t="shared" si="58"/>
        <v>121672</v>
      </c>
      <c r="AJ49" s="32">
        <f t="shared" ca="1" si="59"/>
        <v>920</v>
      </c>
      <c r="AK49" s="32">
        <f t="shared" ca="1" si="60"/>
        <v>14528</v>
      </c>
      <c r="AL49" s="147" t="s">
        <v>736</v>
      </c>
      <c r="AM49" s="148">
        <f t="shared" si="41"/>
        <v>5</v>
      </c>
      <c r="AN49" s="32">
        <f t="shared" si="61"/>
        <v>39932</v>
      </c>
      <c r="AO49" s="32">
        <f t="shared" ca="1" si="62"/>
        <v>0</v>
      </c>
      <c r="AP49" s="32">
        <f t="shared" ca="1" si="63"/>
        <v>16575</v>
      </c>
      <c r="AQ49" s="147"/>
      <c r="AR49" s="156"/>
    </row>
    <row r="50" spans="1:44" x14ac:dyDescent="0.15">
      <c r="A50" s="134"/>
      <c r="B50" s="144" t="s">
        <v>767</v>
      </c>
      <c r="C50" s="154">
        <f t="shared" si="64"/>
        <v>240</v>
      </c>
      <c r="D50" s="142">
        <f t="shared" si="34"/>
        <v>19</v>
      </c>
      <c r="E50" s="32">
        <f t="shared" si="42"/>
        <v>42402</v>
      </c>
      <c r="F50" s="32">
        <f t="shared" ca="1" si="30"/>
        <v>2438</v>
      </c>
      <c r="G50" s="32">
        <f t="shared" ca="1" si="31"/>
        <v>4602</v>
      </c>
      <c r="H50" s="147" t="s">
        <v>736</v>
      </c>
      <c r="I50" s="148">
        <f t="shared" si="35"/>
        <v>20</v>
      </c>
      <c r="J50" s="32">
        <f t="shared" si="43"/>
        <v>42267</v>
      </c>
      <c r="K50" s="32">
        <f t="shared" ca="1" si="44"/>
        <v>1593</v>
      </c>
      <c r="L50" s="32">
        <f t="shared" ca="1" si="45"/>
        <v>4668</v>
      </c>
      <c r="M50" s="147" t="s">
        <v>736</v>
      </c>
      <c r="N50" s="148">
        <f t="shared" si="36"/>
        <v>18</v>
      </c>
      <c r="O50" s="32">
        <f t="shared" si="46"/>
        <v>40061</v>
      </c>
      <c r="P50" s="32">
        <f t="shared" ca="1" si="47"/>
        <v>2651</v>
      </c>
      <c r="Q50" s="32">
        <f t="shared" ca="1" si="48"/>
        <v>4513</v>
      </c>
      <c r="R50" s="147" t="s">
        <v>736</v>
      </c>
      <c r="S50" s="148">
        <f t="shared" si="37"/>
        <v>15</v>
      </c>
      <c r="T50" s="32">
        <f t="shared" si="49"/>
        <v>39191</v>
      </c>
      <c r="U50" s="32">
        <f t="shared" ca="1" si="50"/>
        <v>3673</v>
      </c>
      <c r="V50" s="32">
        <f t="shared" ca="1" si="51"/>
        <v>4989</v>
      </c>
      <c r="W50" s="147" t="s">
        <v>736</v>
      </c>
      <c r="X50" s="148">
        <f t="shared" si="38"/>
        <v>17</v>
      </c>
      <c r="Y50" s="32">
        <f t="shared" si="52"/>
        <v>39355</v>
      </c>
      <c r="Z50" s="32">
        <f t="shared" ca="1" si="53"/>
        <v>6447</v>
      </c>
      <c r="AA50" s="32">
        <f t="shared" ca="1" si="54"/>
        <v>183</v>
      </c>
      <c r="AB50" s="147" t="s">
        <v>736</v>
      </c>
      <c r="AC50" s="148">
        <f t="shared" si="39"/>
        <v>19</v>
      </c>
      <c r="AD50" s="32">
        <f t="shared" si="55"/>
        <v>57017</v>
      </c>
      <c r="AE50" s="32">
        <f t="shared" ca="1" si="56"/>
        <v>996</v>
      </c>
      <c r="AF50" s="32">
        <f t="shared" ca="1" si="57"/>
        <v>7562</v>
      </c>
      <c r="AG50" s="147" t="s">
        <v>736</v>
      </c>
      <c r="AH50" s="148">
        <f t="shared" si="40"/>
        <v>23</v>
      </c>
      <c r="AI50" s="32">
        <f t="shared" si="58"/>
        <v>121912</v>
      </c>
      <c r="AJ50" s="32">
        <f t="shared" ca="1" si="59"/>
        <v>1160</v>
      </c>
      <c r="AK50" s="32">
        <f t="shared" ca="1" si="60"/>
        <v>14288</v>
      </c>
      <c r="AL50" s="147" t="s">
        <v>736</v>
      </c>
      <c r="AM50" s="148">
        <f t="shared" si="41"/>
        <v>5</v>
      </c>
      <c r="AN50" s="32">
        <f t="shared" si="61"/>
        <v>39932</v>
      </c>
      <c r="AO50" s="32">
        <f t="shared" ca="1" si="62"/>
        <v>0</v>
      </c>
      <c r="AP50" s="32">
        <f t="shared" ca="1" si="63"/>
        <v>16575</v>
      </c>
      <c r="AQ50" s="147"/>
      <c r="AR50" s="156"/>
    </row>
    <row r="51" spans="1:44" x14ac:dyDescent="0.15">
      <c r="A51" s="134"/>
      <c r="B51" s="144" t="s">
        <v>768</v>
      </c>
      <c r="C51" s="154">
        <f t="shared" si="64"/>
        <v>282</v>
      </c>
      <c r="D51" s="142">
        <f t="shared" si="34"/>
        <v>19</v>
      </c>
      <c r="E51" s="32">
        <f t="shared" si="42"/>
        <v>42684</v>
      </c>
      <c r="F51" s="32">
        <f t="shared" ca="1" si="30"/>
        <v>2720</v>
      </c>
      <c r="G51" s="32">
        <f t="shared" ca="1" si="31"/>
        <v>4320</v>
      </c>
      <c r="H51" s="147" t="s">
        <v>736</v>
      </c>
      <c r="I51" s="148">
        <f t="shared" si="35"/>
        <v>20</v>
      </c>
      <c r="J51" s="32">
        <f t="shared" si="43"/>
        <v>42549</v>
      </c>
      <c r="K51" s="32">
        <f t="shared" ca="1" si="44"/>
        <v>1875</v>
      </c>
      <c r="L51" s="32">
        <f t="shared" ca="1" si="45"/>
        <v>4386</v>
      </c>
      <c r="M51" s="147" t="s">
        <v>736</v>
      </c>
      <c r="N51" s="148">
        <f t="shared" si="36"/>
        <v>18</v>
      </c>
      <c r="O51" s="32">
        <f t="shared" si="46"/>
        <v>40343</v>
      </c>
      <c r="P51" s="32">
        <f t="shared" ca="1" si="47"/>
        <v>2933</v>
      </c>
      <c r="Q51" s="32">
        <f t="shared" ca="1" si="48"/>
        <v>4231</v>
      </c>
      <c r="R51" s="147" t="s">
        <v>736</v>
      </c>
      <c r="S51" s="148">
        <f t="shared" si="37"/>
        <v>15</v>
      </c>
      <c r="T51" s="32">
        <f t="shared" si="49"/>
        <v>39473</v>
      </c>
      <c r="U51" s="32">
        <f t="shared" ca="1" si="50"/>
        <v>3955</v>
      </c>
      <c r="V51" s="32">
        <f t="shared" ca="1" si="51"/>
        <v>4707</v>
      </c>
      <c r="W51" s="147" t="s">
        <v>736</v>
      </c>
      <c r="X51" s="148">
        <f t="shared" si="38"/>
        <v>18</v>
      </c>
      <c r="Y51" s="32">
        <f t="shared" si="52"/>
        <v>39637</v>
      </c>
      <c r="Z51" s="32">
        <f t="shared" ca="1" si="53"/>
        <v>99</v>
      </c>
      <c r="AA51" s="32">
        <f t="shared" ca="1" si="54"/>
        <v>7152</v>
      </c>
      <c r="AB51" s="147" t="s">
        <v>736</v>
      </c>
      <c r="AC51" s="148">
        <f t="shared" si="39"/>
        <v>19</v>
      </c>
      <c r="AD51" s="32">
        <f t="shared" si="55"/>
        <v>57299</v>
      </c>
      <c r="AE51" s="32">
        <f t="shared" ca="1" si="56"/>
        <v>1278</v>
      </c>
      <c r="AF51" s="32">
        <f t="shared" ca="1" si="57"/>
        <v>7280</v>
      </c>
      <c r="AG51" s="147" t="s">
        <v>736</v>
      </c>
      <c r="AH51" s="148">
        <f t="shared" si="40"/>
        <v>23</v>
      </c>
      <c r="AI51" s="32">
        <f t="shared" si="58"/>
        <v>122194</v>
      </c>
      <c r="AJ51" s="32">
        <f t="shared" ca="1" si="59"/>
        <v>1442</v>
      </c>
      <c r="AK51" s="32">
        <f t="shared" ca="1" si="60"/>
        <v>14006</v>
      </c>
      <c r="AL51" s="147" t="s">
        <v>736</v>
      </c>
      <c r="AM51" s="148">
        <f t="shared" si="41"/>
        <v>5</v>
      </c>
      <c r="AN51" s="32">
        <f t="shared" si="61"/>
        <v>39932</v>
      </c>
      <c r="AO51" s="32">
        <f t="shared" ca="1" si="62"/>
        <v>0</v>
      </c>
      <c r="AP51" s="32">
        <f t="shared" ca="1" si="63"/>
        <v>16575</v>
      </c>
      <c r="AQ51" s="147"/>
      <c r="AR51" s="156"/>
    </row>
    <row r="52" spans="1:44" x14ac:dyDescent="0.15">
      <c r="A52" s="134"/>
      <c r="B52" s="144" t="s">
        <v>747</v>
      </c>
      <c r="C52" s="154">
        <v>550</v>
      </c>
      <c r="D52" s="142">
        <f t="shared" si="34"/>
        <v>19</v>
      </c>
      <c r="E52" s="32">
        <f t="shared" si="42"/>
        <v>43234</v>
      </c>
      <c r="F52" s="32">
        <f t="shared" ca="1" si="30"/>
        <v>3270</v>
      </c>
      <c r="G52" s="32">
        <f t="shared" ca="1" si="31"/>
        <v>3770</v>
      </c>
      <c r="H52" s="147" t="s">
        <v>736</v>
      </c>
      <c r="I52" s="148">
        <f t="shared" si="35"/>
        <v>20</v>
      </c>
      <c r="J52" s="32">
        <f t="shared" si="43"/>
        <v>43099</v>
      </c>
      <c r="K52" s="32">
        <f t="shared" ca="1" si="44"/>
        <v>2425</v>
      </c>
      <c r="L52" s="32">
        <f t="shared" ca="1" si="45"/>
        <v>3836</v>
      </c>
      <c r="M52" s="147" t="s">
        <v>736</v>
      </c>
      <c r="N52" s="148">
        <f t="shared" si="36"/>
        <v>18</v>
      </c>
      <c r="O52" s="32">
        <f t="shared" si="46"/>
        <v>40893</v>
      </c>
      <c r="P52" s="32">
        <f t="shared" ca="1" si="47"/>
        <v>3483</v>
      </c>
      <c r="Q52" s="32">
        <f t="shared" ca="1" si="48"/>
        <v>3681</v>
      </c>
      <c r="R52" s="147" t="s">
        <v>736</v>
      </c>
      <c r="S52" s="148">
        <f t="shared" si="37"/>
        <v>15</v>
      </c>
      <c r="T52" s="32">
        <f t="shared" si="49"/>
        <v>40023</v>
      </c>
      <c r="U52" s="32">
        <f t="shared" ca="1" si="50"/>
        <v>4505</v>
      </c>
      <c r="V52" s="32">
        <f t="shared" ca="1" si="51"/>
        <v>4157</v>
      </c>
      <c r="W52" s="147" t="s">
        <v>736</v>
      </c>
      <c r="X52" s="148">
        <f t="shared" si="38"/>
        <v>18</v>
      </c>
      <c r="Y52" s="32">
        <f t="shared" si="52"/>
        <v>40187</v>
      </c>
      <c r="Z52" s="32">
        <f t="shared" ca="1" si="53"/>
        <v>649</v>
      </c>
      <c r="AA52" s="32">
        <f t="shared" ca="1" si="54"/>
        <v>6602</v>
      </c>
      <c r="AB52" s="147" t="s">
        <v>736</v>
      </c>
      <c r="AC52" s="148">
        <f t="shared" si="39"/>
        <v>19</v>
      </c>
      <c r="AD52" s="32">
        <f t="shared" si="55"/>
        <v>57849</v>
      </c>
      <c r="AE52" s="32">
        <f t="shared" ca="1" si="56"/>
        <v>1828</v>
      </c>
      <c r="AF52" s="32">
        <f t="shared" ca="1" si="57"/>
        <v>6730</v>
      </c>
      <c r="AG52" s="147" t="s">
        <v>736</v>
      </c>
      <c r="AH52" s="148">
        <f t="shared" si="40"/>
        <v>23</v>
      </c>
      <c r="AI52" s="32">
        <f t="shared" si="58"/>
        <v>122744</v>
      </c>
      <c r="AJ52" s="32">
        <f t="shared" ca="1" si="59"/>
        <v>1992</v>
      </c>
      <c r="AK52" s="32">
        <f t="shared" ca="1" si="60"/>
        <v>13456</v>
      </c>
      <c r="AL52" s="147" t="s">
        <v>736</v>
      </c>
      <c r="AM52" s="148">
        <f t="shared" si="41"/>
        <v>5</v>
      </c>
      <c r="AN52" s="32">
        <f t="shared" si="61"/>
        <v>40482</v>
      </c>
      <c r="AO52" s="32">
        <f t="shared" ca="1" si="62"/>
        <v>550</v>
      </c>
      <c r="AP52" s="32">
        <f t="shared" ca="1" si="63"/>
        <v>16025</v>
      </c>
      <c r="AQ52" s="147" t="s">
        <v>736</v>
      </c>
      <c r="AR52" s="156"/>
    </row>
    <row r="53" spans="1:44" x14ac:dyDescent="0.15">
      <c r="A53" s="134"/>
      <c r="B53" s="144" t="s">
        <v>331</v>
      </c>
      <c r="C53" s="154">
        <f t="shared" ref="C53:C60" si="65">IFERROR(VLOOKUP($B53,ボス,8,0),"")</f>
        <v>6300</v>
      </c>
      <c r="D53" s="142">
        <f t="shared" si="34"/>
        <v>20</v>
      </c>
      <c r="E53" s="32">
        <f t="shared" si="42"/>
        <v>49534</v>
      </c>
      <c r="F53" s="32">
        <f t="shared" ca="1" si="30"/>
        <v>2530</v>
      </c>
      <c r="G53" s="32">
        <f t="shared" ca="1" si="31"/>
        <v>5390</v>
      </c>
      <c r="H53" s="147" t="s">
        <v>736</v>
      </c>
      <c r="I53" s="148">
        <f t="shared" si="35"/>
        <v>21</v>
      </c>
      <c r="J53" s="32">
        <f t="shared" si="43"/>
        <v>49399</v>
      </c>
      <c r="K53" s="32">
        <f t="shared" ca="1" si="44"/>
        <v>2464</v>
      </c>
      <c r="L53" s="32">
        <f t="shared" ca="1" si="45"/>
        <v>4775</v>
      </c>
      <c r="M53" s="147" t="s">
        <v>736</v>
      </c>
      <c r="N53" s="148">
        <f t="shared" si="36"/>
        <v>19</v>
      </c>
      <c r="O53" s="32">
        <f t="shared" si="46"/>
        <v>47193</v>
      </c>
      <c r="P53" s="32">
        <f t="shared" ca="1" si="47"/>
        <v>2619</v>
      </c>
      <c r="Q53" s="32">
        <f t="shared" ca="1" si="48"/>
        <v>4992</v>
      </c>
      <c r="R53" s="147" t="s">
        <v>736</v>
      </c>
      <c r="S53" s="148">
        <f t="shared" si="37"/>
        <v>16</v>
      </c>
      <c r="T53" s="32">
        <f t="shared" si="49"/>
        <v>46323</v>
      </c>
      <c r="U53" s="32">
        <f t="shared" ca="1" si="50"/>
        <v>2143</v>
      </c>
      <c r="V53" s="32">
        <f t="shared" ca="1" si="51"/>
        <v>7331</v>
      </c>
      <c r="W53" s="147" t="s">
        <v>736</v>
      </c>
      <c r="X53" s="148">
        <f t="shared" si="38"/>
        <v>18</v>
      </c>
      <c r="Y53" s="32">
        <f t="shared" si="52"/>
        <v>46487</v>
      </c>
      <c r="Z53" s="32">
        <f t="shared" ca="1" si="53"/>
        <v>6949</v>
      </c>
      <c r="AA53" s="32">
        <f t="shared" ca="1" si="54"/>
        <v>302</v>
      </c>
      <c r="AB53" s="147" t="s">
        <v>736</v>
      </c>
      <c r="AC53" s="148">
        <f t="shared" si="39"/>
        <v>19</v>
      </c>
      <c r="AD53" s="32">
        <f t="shared" si="55"/>
        <v>64149</v>
      </c>
      <c r="AE53" s="32">
        <f t="shared" ca="1" si="56"/>
        <v>8128</v>
      </c>
      <c r="AF53" s="32">
        <f t="shared" ca="1" si="57"/>
        <v>430</v>
      </c>
      <c r="AG53" s="147" t="s">
        <v>736</v>
      </c>
      <c r="AH53" s="148">
        <f t="shared" si="40"/>
        <v>23</v>
      </c>
      <c r="AI53" s="32">
        <f t="shared" si="58"/>
        <v>129044</v>
      </c>
      <c r="AJ53" s="32">
        <f t="shared" ca="1" si="59"/>
        <v>8292</v>
      </c>
      <c r="AK53" s="32">
        <f t="shared" ca="1" si="60"/>
        <v>7156</v>
      </c>
      <c r="AL53" s="147" t="s">
        <v>736</v>
      </c>
      <c r="AM53" s="148">
        <f t="shared" si="41"/>
        <v>5</v>
      </c>
      <c r="AN53" s="32">
        <f t="shared" si="61"/>
        <v>46782</v>
      </c>
      <c r="AO53" s="32">
        <f t="shared" ca="1" si="62"/>
        <v>6850</v>
      </c>
      <c r="AP53" s="32">
        <f t="shared" ca="1" si="63"/>
        <v>9725</v>
      </c>
      <c r="AQ53" s="147" t="s">
        <v>736</v>
      </c>
      <c r="AR53" s="156"/>
    </row>
    <row r="54" spans="1:44" x14ac:dyDescent="0.15">
      <c r="A54" s="134"/>
      <c r="B54" s="144" t="s">
        <v>769</v>
      </c>
      <c r="C54" s="154">
        <f t="shared" si="65"/>
        <v>427</v>
      </c>
      <c r="D54" s="142">
        <f t="shared" si="34"/>
        <v>20</v>
      </c>
      <c r="E54" s="32">
        <f t="shared" si="42"/>
        <v>49961</v>
      </c>
      <c r="F54" s="32">
        <f t="shared" ca="1" si="30"/>
        <v>2957</v>
      </c>
      <c r="G54" s="32">
        <f t="shared" ca="1" si="31"/>
        <v>4963</v>
      </c>
      <c r="H54" s="147" t="s">
        <v>736</v>
      </c>
      <c r="I54" s="148">
        <f t="shared" si="35"/>
        <v>21</v>
      </c>
      <c r="J54" s="32">
        <f t="shared" si="43"/>
        <v>49826</v>
      </c>
      <c r="K54" s="32">
        <f t="shared" ca="1" si="44"/>
        <v>2891</v>
      </c>
      <c r="L54" s="32">
        <f t="shared" ca="1" si="45"/>
        <v>4348</v>
      </c>
      <c r="M54" s="147" t="s">
        <v>736</v>
      </c>
      <c r="N54" s="148">
        <f t="shared" si="36"/>
        <v>19</v>
      </c>
      <c r="O54" s="32">
        <f t="shared" si="46"/>
        <v>47620</v>
      </c>
      <c r="P54" s="32">
        <f t="shared" ca="1" si="47"/>
        <v>3046</v>
      </c>
      <c r="Q54" s="32">
        <f t="shared" ca="1" si="48"/>
        <v>4565</v>
      </c>
      <c r="R54" s="147" t="s">
        <v>736</v>
      </c>
      <c r="S54" s="148">
        <f t="shared" si="37"/>
        <v>16</v>
      </c>
      <c r="T54" s="32">
        <f t="shared" si="49"/>
        <v>46750</v>
      </c>
      <c r="U54" s="32">
        <f t="shared" ca="1" si="50"/>
        <v>2570</v>
      </c>
      <c r="V54" s="32">
        <f t="shared" ca="1" si="51"/>
        <v>6904</v>
      </c>
      <c r="W54" s="147" t="s">
        <v>736</v>
      </c>
      <c r="X54" s="148">
        <f t="shared" si="38"/>
        <v>19</v>
      </c>
      <c r="Y54" s="32">
        <f t="shared" si="52"/>
        <v>46914</v>
      </c>
      <c r="Z54" s="32">
        <f t="shared" ca="1" si="53"/>
        <v>125</v>
      </c>
      <c r="AA54" s="32">
        <f t="shared" ca="1" si="54"/>
        <v>7805</v>
      </c>
      <c r="AB54" s="147" t="s">
        <v>736</v>
      </c>
      <c r="AC54" s="148">
        <f t="shared" si="39"/>
        <v>19</v>
      </c>
      <c r="AD54" s="32">
        <f t="shared" si="55"/>
        <v>64576</v>
      </c>
      <c r="AE54" s="32">
        <f t="shared" ca="1" si="56"/>
        <v>8555</v>
      </c>
      <c r="AF54" s="32">
        <f t="shared" ca="1" si="57"/>
        <v>3</v>
      </c>
      <c r="AG54" s="147" t="s">
        <v>736</v>
      </c>
      <c r="AH54" s="148">
        <f t="shared" si="40"/>
        <v>23</v>
      </c>
      <c r="AI54" s="32">
        <f t="shared" si="58"/>
        <v>129471</v>
      </c>
      <c r="AJ54" s="32">
        <f t="shared" ca="1" si="59"/>
        <v>8719</v>
      </c>
      <c r="AK54" s="32">
        <f t="shared" ca="1" si="60"/>
        <v>6729</v>
      </c>
      <c r="AL54" s="147" t="s">
        <v>736</v>
      </c>
      <c r="AM54" s="148">
        <f t="shared" si="41"/>
        <v>5</v>
      </c>
      <c r="AN54" s="32">
        <f t="shared" si="61"/>
        <v>47209</v>
      </c>
      <c r="AO54" s="32">
        <f t="shared" ca="1" si="62"/>
        <v>7277</v>
      </c>
      <c r="AP54" s="32">
        <f t="shared" ca="1" si="63"/>
        <v>9298</v>
      </c>
      <c r="AQ54" s="147" t="s">
        <v>736</v>
      </c>
      <c r="AR54" s="156"/>
    </row>
    <row r="55" spans="1:44" x14ac:dyDescent="0.15">
      <c r="A55" s="134"/>
      <c r="B55" s="144" t="s">
        <v>307</v>
      </c>
      <c r="C55" s="154">
        <f t="shared" si="65"/>
        <v>427</v>
      </c>
      <c r="D55" s="142">
        <f t="shared" si="34"/>
        <v>20</v>
      </c>
      <c r="E55" s="32">
        <f t="shared" si="42"/>
        <v>50388</v>
      </c>
      <c r="F55" s="32">
        <f t="shared" ca="1" si="30"/>
        <v>3384</v>
      </c>
      <c r="G55" s="32">
        <f t="shared" ca="1" si="31"/>
        <v>4536</v>
      </c>
      <c r="H55" s="147" t="s">
        <v>736</v>
      </c>
      <c r="I55" s="148">
        <f t="shared" si="35"/>
        <v>21</v>
      </c>
      <c r="J55" s="32">
        <f t="shared" si="43"/>
        <v>50253</v>
      </c>
      <c r="K55" s="32">
        <f t="shared" ca="1" si="44"/>
        <v>3318</v>
      </c>
      <c r="L55" s="32">
        <f t="shared" ca="1" si="45"/>
        <v>3921</v>
      </c>
      <c r="M55" s="147" t="s">
        <v>736</v>
      </c>
      <c r="N55" s="148">
        <f t="shared" si="36"/>
        <v>19</v>
      </c>
      <c r="O55" s="32">
        <f t="shared" si="46"/>
        <v>48047</v>
      </c>
      <c r="P55" s="32">
        <f t="shared" ca="1" si="47"/>
        <v>3473</v>
      </c>
      <c r="Q55" s="32">
        <f t="shared" ca="1" si="48"/>
        <v>4138</v>
      </c>
      <c r="R55" s="147" t="s">
        <v>736</v>
      </c>
      <c r="S55" s="148">
        <f t="shared" si="37"/>
        <v>16</v>
      </c>
      <c r="T55" s="32">
        <f t="shared" si="49"/>
        <v>47177</v>
      </c>
      <c r="U55" s="32">
        <f t="shared" ca="1" si="50"/>
        <v>2997</v>
      </c>
      <c r="V55" s="32">
        <f t="shared" ca="1" si="51"/>
        <v>6477</v>
      </c>
      <c r="W55" s="147" t="s">
        <v>736</v>
      </c>
      <c r="X55" s="148">
        <f t="shared" si="38"/>
        <v>19</v>
      </c>
      <c r="Y55" s="32">
        <f t="shared" si="52"/>
        <v>47341</v>
      </c>
      <c r="Z55" s="32">
        <f t="shared" ca="1" si="53"/>
        <v>552</v>
      </c>
      <c r="AA55" s="32">
        <f t="shared" ca="1" si="54"/>
        <v>7378</v>
      </c>
      <c r="AB55" s="147" t="s">
        <v>736</v>
      </c>
      <c r="AC55" s="148">
        <f t="shared" si="39"/>
        <v>20</v>
      </c>
      <c r="AD55" s="32">
        <f t="shared" si="55"/>
        <v>65003</v>
      </c>
      <c r="AE55" s="32">
        <f t="shared" ca="1" si="56"/>
        <v>424</v>
      </c>
      <c r="AF55" s="32">
        <f t="shared" ca="1" si="57"/>
        <v>9471</v>
      </c>
      <c r="AG55" s="147" t="s">
        <v>736</v>
      </c>
      <c r="AH55" s="148">
        <f t="shared" si="40"/>
        <v>23</v>
      </c>
      <c r="AI55" s="32">
        <f t="shared" si="58"/>
        <v>129898</v>
      </c>
      <c r="AJ55" s="32">
        <f t="shared" ca="1" si="59"/>
        <v>9146</v>
      </c>
      <c r="AK55" s="32">
        <f t="shared" ca="1" si="60"/>
        <v>6302</v>
      </c>
      <c r="AL55" s="147" t="s">
        <v>736</v>
      </c>
      <c r="AM55" s="148">
        <f t="shared" si="41"/>
        <v>5</v>
      </c>
      <c r="AN55" s="32">
        <f t="shared" si="61"/>
        <v>47636</v>
      </c>
      <c r="AO55" s="32">
        <f t="shared" ca="1" si="62"/>
        <v>7704</v>
      </c>
      <c r="AP55" s="32">
        <f t="shared" ca="1" si="63"/>
        <v>8871</v>
      </c>
      <c r="AQ55" s="147" t="s">
        <v>736</v>
      </c>
      <c r="AR55" s="156"/>
    </row>
    <row r="56" spans="1:44" x14ac:dyDescent="0.15">
      <c r="A56" s="134"/>
      <c r="B56" s="144" t="s">
        <v>439</v>
      </c>
      <c r="C56" s="154">
        <f t="shared" si="65"/>
        <v>8500</v>
      </c>
      <c r="D56" s="142">
        <f t="shared" si="34"/>
        <v>21</v>
      </c>
      <c r="E56" s="32">
        <f t="shared" si="42"/>
        <v>58888</v>
      </c>
      <c r="F56" s="32">
        <f t="shared" ca="1" si="30"/>
        <v>3964</v>
      </c>
      <c r="G56" s="32">
        <f t="shared" ca="1" si="31"/>
        <v>4946</v>
      </c>
      <c r="H56" s="147" t="s">
        <v>736</v>
      </c>
      <c r="I56" s="148">
        <f t="shared" si="35"/>
        <v>22</v>
      </c>
      <c r="J56" s="32">
        <f t="shared" si="43"/>
        <v>58753</v>
      </c>
      <c r="K56" s="32">
        <f t="shared" ca="1" si="44"/>
        <v>4579</v>
      </c>
      <c r="L56" s="32">
        <f t="shared" ca="1" si="45"/>
        <v>3791</v>
      </c>
      <c r="M56" s="147" t="s">
        <v>736</v>
      </c>
      <c r="N56" s="148">
        <f t="shared" si="36"/>
        <v>20</v>
      </c>
      <c r="O56" s="32">
        <f t="shared" si="46"/>
        <v>56547</v>
      </c>
      <c r="P56" s="32">
        <f t="shared" ca="1" si="47"/>
        <v>4362</v>
      </c>
      <c r="Q56" s="32">
        <f t="shared" ca="1" si="48"/>
        <v>4200</v>
      </c>
      <c r="R56" s="147" t="s">
        <v>736</v>
      </c>
      <c r="S56" s="148">
        <f t="shared" si="37"/>
        <v>17</v>
      </c>
      <c r="T56" s="32">
        <f t="shared" si="49"/>
        <v>55677</v>
      </c>
      <c r="U56" s="32">
        <f t="shared" ca="1" si="50"/>
        <v>2023</v>
      </c>
      <c r="V56" s="32">
        <f t="shared" ca="1" si="51"/>
        <v>8339</v>
      </c>
      <c r="W56" s="147" t="s">
        <v>736</v>
      </c>
      <c r="X56" s="148">
        <f t="shared" si="38"/>
        <v>20</v>
      </c>
      <c r="Y56" s="32">
        <f t="shared" si="52"/>
        <v>55841</v>
      </c>
      <c r="Z56" s="32">
        <f t="shared" ca="1" si="53"/>
        <v>1122</v>
      </c>
      <c r="AA56" s="32">
        <f t="shared" ca="1" si="54"/>
        <v>7799</v>
      </c>
      <c r="AB56" s="147" t="s">
        <v>736</v>
      </c>
      <c r="AC56" s="148">
        <f t="shared" si="39"/>
        <v>20</v>
      </c>
      <c r="AD56" s="32">
        <f t="shared" si="55"/>
        <v>73503</v>
      </c>
      <c r="AE56" s="32">
        <f t="shared" ca="1" si="56"/>
        <v>8924</v>
      </c>
      <c r="AF56" s="32">
        <f t="shared" ca="1" si="57"/>
        <v>971</v>
      </c>
      <c r="AG56" s="147" t="s">
        <v>736</v>
      </c>
      <c r="AH56" s="148">
        <f t="shared" si="40"/>
        <v>24</v>
      </c>
      <c r="AI56" s="32">
        <f t="shared" si="58"/>
        <v>138398</v>
      </c>
      <c r="AJ56" s="32">
        <f t="shared" ca="1" si="59"/>
        <v>2198</v>
      </c>
      <c r="AK56" s="32">
        <f t="shared" ca="1" si="60"/>
        <v>14215</v>
      </c>
      <c r="AL56" s="147" t="s">
        <v>736</v>
      </c>
      <c r="AM56" s="148">
        <f t="shared" si="41"/>
        <v>5</v>
      </c>
      <c r="AN56" s="32">
        <f t="shared" si="61"/>
        <v>56136</v>
      </c>
      <c r="AO56" s="32">
        <f t="shared" ca="1" si="62"/>
        <v>16204</v>
      </c>
      <c r="AP56" s="32">
        <f t="shared" ca="1" si="63"/>
        <v>371</v>
      </c>
      <c r="AQ56" s="147" t="s">
        <v>736</v>
      </c>
      <c r="AR56" s="156"/>
    </row>
    <row r="57" spans="1:44" x14ac:dyDescent="0.15">
      <c r="A57" s="134"/>
      <c r="B57" s="144" t="s">
        <v>770</v>
      </c>
      <c r="C57" s="154">
        <f t="shared" si="65"/>
        <v>3300</v>
      </c>
      <c r="D57" s="142">
        <f t="shared" si="34"/>
        <v>21</v>
      </c>
      <c r="E57" s="32">
        <f t="shared" si="42"/>
        <v>62188</v>
      </c>
      <c r="F57" s="32">
        <f t="shared" ca="1" si="30"/>
        <v>7264</v>
      </c>
      <c r="G57" s="32">
        <f t="shared" ca="1" si="31"/>
        <v>1646</v>
      </c>
      <c r="H57" s="147" t="s">
        <v>736</v>
      </c>
      <c r="I57" s="148">
        <f t="shared" si="35"/>
        <v>22</v>
      </c>
      <c r="J57" s="32">
        <f t="shared" si="43"/>
        <v>62053</v>
      </c>
      <c r="K57" s="32">
        <f t="shared" ca="1" si="44"/>
        <v>7879</v>
      </c>
      <c r="L57" s="32">
        <f t="shared" ca="1" si="45"/>
        <v>491</v>
      </c>
      <c r="M57" s="147" t="s">
        <v>736</v>
      </c>
      <c r="N57" s="148">
        <f t="shared" si="36"/>
        <v>20</v>
      </c>
      <c r="O57" s="32">
        <f t="shared" si="46"/>
        <v>59847</v>
      </c>
      <c r="P57" s="32">
        <f t="shared" ca="1" si="47"/>
        <v>7662</v>
      </c>
      <c r="Q57" s="32">
        <f t="shared" ca="1" si="48"/>
        <v>900</v>
      </c>
      <c r="R57" s="147" t="s">
        <v>736</v>
      </c>
      <c r="S57" s="148">
        <f t="shared" si="37"/>
        <v>17</v>
      </c>
      <c r="T57" s="32">
        <f t="shared" si="49"/>
        <v>58977</v>
      </c>
      <c r="U57" s="32">
        <f t="shared" ca="1" si="50"/>
        <v>5323</v>
      </c>
      <c r="V57" s="32">
        <f t="shared" ca="1" si="51"/>
        <v>5039</v>
      </c>
      <c r="W57" s="147" t="s">
        <v>736</v>
      </c>
      <c r="X57" s="148">
        <f t="shared" si="38"/>
        <v>20</v>
      </c>
      <c r="Y57" s="32">
        <f t="shared" si="52"/>
        <v>59141</v>
      </c>
      <c r="Z57" s="32">
        <f t="shared" ca="1" si="53"/>
        <v>4422</v>
      </c>
      <c r="AA57" s="32">
        <f t="shared" ca="1" si="54"/>
        <v>4499</v>
      </c>
      <c r="AB57" s="147" t="s">
        <v>736</v>
      </c>
      <c r="AC57" s="148">
        <f t="shared" si="39"/>
        <v>21</v>
      </c>
      <c r="AD57" s="32">
        <f t="shared" si="55"/>
        <v>76803</v>
      </c>
      <c r="AE57" s="32">
        <f t="shared" ca="1" si="56"/>
        <v>2329</v>
      </c>
      <c r="AF57" s="32">
        <f t="shared" ca="1" si="57"/>
        <v>9112</v>
      </c>
      <c r="AG57" s="147" t="s">
        <v>736</v>
      </c>
      <c r="AH57" s="148">
        <f t="shared" si="40"/>
        <v>24</v>
      </c>
      <c r="AI57" s="32">
        <f t="shared" si="58"/>
        <v>141698</v>
      </c>
      <c r="AJ57" s="32">
        <f t="shared" ca="1" si="59"/>
        <v>5498</v>
      </c>
      <c r="AK57" s="32">
        <f t="shared" ca="1" si="60"/>
        <v>10915</v>
      </c>
      <c r="AL57" s="147" t="s">
        <v>736</v>
      </c>
      <c r="AM57" s="148">
        <f t="shared" si="41"/>
        <v>6</v>
      </c>
      <c r="AN57" s="32">
        <f t="shared" si="61"/>
        <v>59436</v>
      </c>
      <c r="AO57" s="32">
        <f t="shared" ca="1" si="62"/>
        <v>2929</v>
      </c>
      <c r="AP57" s="32">
        <f t="shared" ca="1" si="63"/>
        <v>15717</v>
      </c>
      <c r="AQ57" s="147" t="s">
        <v>736</v>
      </c>
      <c r="AR57" s="156"/>
    </row>
    <row r="58" spans="1:44" x14ac:dyDescent="0.15">
      <c r="A58" s="134"/>
      <c r="B58" s="144" t="s">
        <v>771</v>
      </c>
      <c r="C58" s="154">
        <f t="shared" si="65"/>
        <v>4400</v>
      </c>
      <c r="D58" s="142">
        <f t="shared" si="34"/>
        <v>22</v>
      </c>
      <c r="E58" s="32">
        <f t="shared" si="42"/>
        <v>66588</v>
      </c>
      <c r="F58" s="32">
        <f t="shared" ca="1" si="30"/>
        <v>2754</v>
      </c>
      <c r="G58" s="32">
        <f t="shared" ca="1" si="31"/>
        <v>7269</v>
      </c>
      <c r="H58" s="147" t="s">
        <v>736</v>
      </c>
      <c r="I58" s="148">
        <f t="shared" si="35"/>
        <v>23</v>
      </c>
      <c r="J58" s="32">
        <f t="shared" si="43"/>
        <v>66453</v>
      </c>
      <c r="K58" s="32">
        <f t="shared" ca="1" si="44"/>
        <v>3909</v>
      </c>
      <c r="L58" s="32">
        <f t="shared" ca="1" si="45"/>
        <v>5768</v>
      </c>
      <c r="M58" s="147" t="s">
        <v>736</v>
      </c>
      <c r="N58" s="148">
        <f t="shared" si="36"/>
        <v>21</v>
      </c>
      <c r="O58" s="32">
        <f t="shared" si="46"/>
        <v>64247</v>
      </c>
      <c r="P58" s="32">
        <f t="shared" ca="1" si="47"/>
        <v>3500</v>
      </c>
      <c r="Q58" s="32">
        <f t="shared" ca="1" si="48"/>
        <v>6132</v>
      </c>
      <c r="R58" s="147" t="s">
        <v>736</v>
      </c>
      <c r="S58" s="148">
        <f t="shared" si="37"/>
        <v>17</v>
      </c>
      <c r="T58" s="32">
        <f t="shared" si="49"/>
        <v>63377</v>
      </c>
      <c r="U58" s="32">
        <f t="shared" ca="1" si="50"/>
        <v>9723</v>
      </c>
      <c r="V58" s="32">
        <f t="shared" ca="1" si="51"/>
        <v>639</v>
      </c>
      <c r="W58" s="147" t="s">
        <v>736</v>
      </c>
      <c r="X58" s="148">
        <f t="shared" si="38"/>
        <v>20</v>
      </c>
      <c r="Y58" s="32">
        <f t="shared" si="52"/>
        <v>63541</v>
      </c>
      <c r="Z58" s="32">
        <f t="shared" ca="1" si="53"/>
        <v>8822</v>
      </c>
      <c r="AA58" s="32">
        <f t="shared" ca="1" si="54"/>
        <v>99</v>
      </c>
      <c r="AB58" s="147" t="s">
        <v>736</v>
      </c>
      <c r="AC58" s="148">
        <f t="shared" si="39"/>
        <v>21</v>
      </c>
      <c r="AD58" s="32">
        <f t="shared" si="55"/>
        <v>81203</v>
      </c>
      <c r="AE58" s="32">
        <f t="shared" ca="1" si="56"/>
        <v>6729</v>
      </c>
      <c r="AF58" s="32">
        <f t="shared" ca="1" si="57"/>
        <v>4712</v>
      </c>
      <c r="AG58" s="147" t="s">
        <v>736</v>
      </c>
      <c r="AH58" s="148">
        <f t="shared" si="40"/>
        <v>24</v>
      </c>
      <c r="AI58" s="32">
        <f t="shared" si="58"/>
        <v>146098</v>
      </c>
      <c r="AJ58" s="32">
        <f t="shared" ca="1" si="59"/>
        <v>9898</v>
      </c>
      <c r="AK58" s="32">
        <f t="shared" ca="1" si="60"/>
        <v>6515</v>
      </c>
      <c r="AL58" s="147" t="s">
        <v>736</v>
      </c>
      <c r="AM58" s="148">
        <f t="shared" si="41"/>
        <v>6</v>
      </c>
      <c r="AN58" s="32">
        <f t="shared" si="61"/>
        <v>63836</v>
      </c>
      <c r="AO58" s="32">
        <f t="shared" ca="1" si="62"/>
        <v>7329</v>
      </c>
      <c r="AP58" s="32">
        <f t="shared" ca="1" si="63"/>
        <v>11317</v>
      </c>
      <c r="AQ58" s="147" t="s">
        <v>736</v>
      </c>
      <c r="AR58" s="156"/>
    </row>
    <row r="59" spans="1:44" x14ac:dyDescent="0.15">
      <c r="A59" s="134"/>
      <c r="B59" s="144"/>
      <c r="C59" s="154" t="str">
        <f t="shared" si="65"/>
        <v/>
      </c>
      <c r="D59" s="142">
        <f t="shared" si="34"/>
        <v>22</v>
      </c>
      <c r="E59" s="32">
        <f t="shared" si="42"/>
        <v>66588</v>
      </c>
      <c r="F59" s="32">
        <f t="shared" ca="1" si="30"/>
        <v>2754</v>
      </c>
      <c r="G59" s="32">
        <f t="shared" ca="1" si="31"/>
        <v>7269</v>
      </c>
      <c r="H59" s="147"/>
      <c r="I59" s="148">
        <f t="shared" si="35"/>
        <v>23</v>
      </c>
      <c r="J59" s="32">
        <f t="shared" si="43"/>
        <v>66453</v>
      </c>
      <c r="K59" s="32">
        <f t="shared" ca="1" si="44"/>
        <v>3909</v>
      </c>
      <c r="L59" s="32">
        <f t="shared" ca="1" si="45"/>
        <v>5768</v>
      </c>
      <c r="M59" s="147"/>
      <c r="N59" s="148">
        <f t="shared" si="36"/>
        <v>21</v>
      </c>
      <c r="O59" s="32">
        <f t="shared" si="46"/>
        <v>64247</v>
      </c>
      <c r="P59" s="32">
        <f t="shared" ca="1" si="47"/>
        <v>3500</v>
      </c>
      <c r="Q59" s="32">
        <f t="shared" ca="1" si="48"/>
        <v>6132</v>
      </c>
      <c r="R59" s="147"/>
      <c r="S59" s="148">
        <f t="shared" si="37"/>
        <v>17</v>
      </c>
      <c r="T59" s="32">
        <f t="shared" si="49"/>
        <v>63377</v>
      </c>
      <c r="U59" s="32">
        <f t="shared" ca="1" si="50"/>
        <v>9723</v>
      </c>
      <c r="V59" s="32">
        <f t="shared" ca="1" si="51"/>
        <v>639</v>
      </c>
      <c r="W59" s="147"/>
      <c r="X59" s="148">
        <f t="shared" si="38"/>
        <v>20</v>
      </c>
      <c r="Y59" s="32">
        <f t="shared" si="52"/>
        <v>63541</v>
      </c>
      <c r="Z59" s="32">
        <f t="shared" ca="1" si="53"/>
        <v>8822</v>
      </c>
      <c r="AA59" s="32">
        <f t="shared" ca="1" si="54"/>
        <v>99</v>
      </c>
      <c r="AB59" s="147"/>
      <c r="AC59" s="148">
        <f t="shared" si="39"/>
        <v>21</v>
      </c>
      <c r="AD59" s="32">
        <f t="shared" si="55"/>
        <v>81203</v>
      </c>
      <c r="AE59" s="32">
        <f t="shared" ca="1" si="56"/>
        <v>6729</v>
      </c>
      <c r="AF59" s="32">
        <f t="shared" ca="1" si="57"/>
        <v>4712</v>
      </c>
      <c r="AG59" s="147"/>
      <c r="AH59" s="148">
        <f t="shared" si="40"/>
        <v>24</v>
      </c>
      <c r="AI59" s="32">
        <f t="shared" si="58"/>
        <v>146098</v>
      </c>
      <c r="AJ59" s="32">
        <f t="shared" ca="1" si="59"/>
        <v>9898</v>
      </c>
      <c r="AK59" s="32">
        <f t="shared" ca="1" si="60"/>
        <v>6515</v>
      </c>
      <c r="AL59" s="147"/>
      <c r="AM59" s="148">
        <f t="shared" si="41"/>
        <v>6</v>
      </c>
      <c r="AN59" s="32">
        <f t="shared" si="61"/>
        <v>63836</v>
      </c>
      <c r="AO59" s="32">
        <f t="shared" ca="1" si="62"/>
        <v>7329</v>
      </c>
      <c r="AP59" s="32">
        <f t="shared" ca="1" si="63"/>
        <v>11317</v>
      </c>
      <c r="AQ59" s="155"/>
      <c r="AR59" s="156"/>
    </row>
    <row r="60" spans="1:44" x14ac:dyDescent="0.15">
      <c r="A60" s="134"/>
      <c r="B60" s="145"/>
      <c r="C60" s="157" t="str">
        <f t="shared" si="65"/>
        <v/>
      </c>
      <c r="D60" s="143">
        <f t="shared" si="34"/>
        <v>22</v>
      </c>
      <c r="E60" s="36">
        <f t="shared" si="42"/>
        <v>66588</v>
      </c>
      <c r="F60" s="36">
        <f t="shared" ca="1" si="30"/>
        <v>2754</v>
      </c>
      <c r="G60" s="36">
        <f t="shared" ca="1" si="31"/>
        <v>7269</v>
      </c>
      <c r="H60" s="149"/>
      <c r="I60" s="150">
        <f t="shared" si="35"/>
        <v>23</v>
      </c>
      <c r="J60" s="36">
        <f t="shared" si="43"/>
        <v>66453</v>
      </c>
      <c r="K60" s="36">
        <f t="shared" ca="1" si="44"/>
        <v>3909</v>
      </c>
      <c r="L60" s="36">
        <f t="shared" ca="1" si="45"/>
        <v>5768</v>
      </c>
      <c r="M60" s="149"/>
      <c r="N60" s="150">
        <f t="shared" si="36"/>
        <v>21</v>
      </c>
      <c r="O60" s="36">
        <f t="shared" si="46"/>
        <v>64247</v>
      </c>
      <c r="P60" s="36">
        <f t="shared" ca="1" si="47"/>
        <v>3500</v>
      </c>
      <c r="Q60" s="36">
        <f t="shared" ca="1" si="48"/>
        <v>6132</v>
      </c>
      <c r="R60" s="149"/>
      <c r="S60" s="150">
        <f t="shared" si="37"/>
        <v>17</v>
      </c>
      <c r="T60" s="36">
        <f t="shared" si="49"/>
        <v>63377</v>
      </c>
      <c r="U60" s="36">
        <f t="shared" ca="1" si="50"/>
        <v>9723</v>
      </c>
      <c r="V60" s="36">
        <f t="shared" ca="1" si="51"/>
        <v>639</v>
      </c>
      <c r="W60" s="149"/>
      <c r="X60" s="150">
        <f t="shared" si="38"/>
        <v>20</v>
      </c>
      <c r="Y60" s="36">
        <f t="shared" si="52"/>
        <v>63541</v>
      </c>
      <c r="Z60" s="36">
        <f t="shared" ca="1" si="53"/>
        <v>8822</v>
      </c>
      <c r="AA60" s="36">
        <f t="shared" ca="1" si="54"/>
        <v>99</v>
      </c>
      <c r="AB60" s="149"/>
      <c r="AC60" s="150">
        <f t="shared" si="39"/>
        <v>21</v>
      </c>
      <c r="AD60" s="36">
        <f t="shared" si="55"/>
        <v>81203</v>
      </c>
      <c r="AE60" s="36">
        <f t="shared" ca="1" si="56"/>
        <v>6729</v>
      </c>
      <c r="AF60" s="36">
        <f t="shared" ca="1" si="57"/>
        <v>4712</v>
      </c>
      <c r="AG60" s="149"/>
      <c r="AH60" s="150">
        <f t="shared" si="40"/>
        <v>24</v>
      </c>
      <c r="AI60" s="36">
        <f t="shared" si="58"/>
        <v>146098</v>
      </c>
      <c r="AJ60" s="36">
        <f t="shared" ca="1" si="59"/>
        <v>9898</v>
      </c>
      <c r="AK60" s="36">
        <f t="shared" ca="1" si="60"/>
        <v>6515</v>
      </c>
      <c r="AL60" s="149"/>
      <c r="AM60" s="150">
        <f t="shared" si="41"/>
        <v>6</v>
      </c>
      <c r="AN60" s="36">
        <f t="shared" si="61"/>
        <v>63836</v>
      </c>
      <c r="AO60" s="36">
        <f t="shared" ca="1" si="62"/>
        <v>7329</v>
      </c>
      <c r="AP60" s="36">
        <f t="shared" ca="1" si="63"/>
        <v>11317</v>
      </c>
      <c r="AQ60" s="158"/>
      <c r="AR60" s="156"/>
    </row>
    <row r="61" spans="1:44" x14ac:dyDescent="0.1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row>
  </sheetData>
  <mergeCells count="11">
    <mergeCell ref="D2:H2"/>
    <mergeCell ref="B2:B3"/>
    <mergeCell ref="C2:C3"/>
    <mergeCell ref="B1:C1"/>
    <mergeCell ref="AM2:AQ2"/>
    <mergeCell ref="AH2:AL2"/>
    <mergeCell ref="AC2:AG2"/>
    <mergeCell ref="X2:AB2"/>
    <mergeCell ref="S2:W2"/>
    <mergeCell ref="N2:R2"/>
    <mergeCell ref="I2:M2"/>
  </mergeCells>
  <phoneticPr fontId="1"/>
  <dataValidations count="2">
    <dataValidation type="list" allowBlank="1" showInputMessage="1" showErrorMessage="1" sqref="AG4:AG60 AB4:AB60 W4:W60 R4:R60 M4:M60 H4:H60 AL4:AL60 AQ4:AQ60">
      <formula1>○×</formula1>
    </dataValidation>
    <dataValidation type="list" allowBlank="1" showInputMessage="1" sqref="B5:B60">
      <formula1>ボスリスト</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05"/>
  <sheetViews>
    <sheetView topLeftCell="A34" workbookViewId="0">
      <selection activeCell="F56" sqref="F56"/>
    </sheetView>
  </sheetViews>
  <sheetFormatPr defaultColWidth="12.625" defaultRowHeight="11.25" x14ac:dyDescent="0.15"/>
  <cols>
    <col min="1" max="1" width="2.625" style="1" customWidth="1"/>
    <col min="2" max="2" width="15.625" style="1" customWidth="1"/>
    <col min="3" max="4" width="5.625" style="1" customWidth="1"/>
    <col min="5" max="5" width="2.125" style="1" customWidth="1"/>
    <col min="6" max="6" width="12.625" style="1"/>
    <col min="7" max="7" width="2.125" style="1" customWidth="1"/>
    <col min="8" max="8" width="10.625" style="1" customWidth="1"/>
    <col min="9" max="10" width="5.625" style="1" customWidth="1"/>
    <col min="11" max="42" width="2.625" style="1" customWidth="1"/>
    <col min="43" max="45" width="4.625" style="1" customWidth="1"/>
    <col min="46" max="46" width="10.625" style="1" customWidth="1"/>
    <col min="47" max="48" width="5.625" style="1" customWidth="1"/>
    <col min="49" max="80" width="2.625" style="1" customWidth="1"/>
    <col min="81" max="82" width="4.625" style="1" customWidth="1"/>
    <col min="83" max="16384" width="12.625" style="1"/>
  </cols>
  <sheetData>
    <row r="1" spans="2:82" x14ac:dyDescent="0.15">
      <c r="B1" s="284" t="s">
        <v>568</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row>
    <row r="2" spans="2:82" x14ac:dyDescent="0.15">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row>
    <row r="3" spans="2:82" x14ac:dyDescent="0.15">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row>
    <row r="5" spans="2:82" x14ac:dyDescent="0.15">
      <c r="B5" s="17" t="s">
        <v>443</v>
      </c>
      <c r="C5" s="63" t="s">
        <v>445</v>
      </c>
      <c r="D5" s="18" t="s">
        <v>444</v>
      </c>
      <c r="F5" s="2" t="s">
        <v>474</v>
      </c>
      <c r="H5" s="98" t="str">
        <f ca="1">計算!B4</f>
        <v>デスタムーア3</v>
      </c>
      <c r="I5" s="263" t="s">
        <v>625</v>
      </c>
      <c r="J5" s="263"/>
      <c r="K5" s="279" t="str">
        <f ca="1">計算!AA4</f>
        <v>主人公</v>
      </c>
      <c r="L5" s="280"/>
      <c r="M5" s="280"/>
      <c r="N5" s="281"/>
      <c r="O5" s="286" t="str">
        <f ca="1">計算!AA5</f>
        <v>ハッサン</v>
      </c>
      <c r="P5" s="287"/>
      <c r="Q5" s="287"/>
      <c r="R5" s="288"/>
      <c r="S5" s="279" t="str">
        <f ca="1">計算!AA6</f>
        <v>ミレーユ</v>
      </c>
      <c r="T5" s="280"/>
      <c r="U5" s="280"/>
      <c r="V5" s="281"/>
      <c r="W5" s="279" t="str">
        <f ca="1">計算!AA7</f>
        <v>バーバラ</v>
      </c>
      <c r="X5" s="280"/>
      <c r="Y5" s="280"/>
      <c r="Z5" s="281"/>
      <c r="AA5" s="279" t="str">
        <f ca="1">計算!AA8</f>
        <v>チャモロ</v>
      </c>
      <c r="AB5" s="280"/>
      <c r="AC5" s="280"/>
      <c r="AD5" s="281"/>
      <c r="AE5" s="279" t="str">
        <f ca="1">計算!AA9</f>
        <v>アモス</v>
      </c>
      <c r="AF5" s="280"/>
      <c r="AG5" s="280"/>
      <c r="AH5" s="281"/>
      <c r="AI5" s="279" t="str">
        <f ca="1">計算!AA10</f>
        <v>テリー</v>
      </c>
      <c r="AJ5" s="280"/>
      <c r="AK5" s="280"/>
      <c r="AL5" s="281"/>
      <c r="AM5" s="279" t="str">
        <f ca="1">計算!AA11</f>
        <v>ドランゴ</v>
      </c>
      <c r="AN5" s="280"/>
      <c r="AO5" s="280"/>
      <c r="AP5" s="289"/>
      <c r="AT5" s="98" t="str">
        <f ca="1">計算!AA4</f>
        <v>主人公</v>
      </c>
      <c r="AU5" s="263" t="s">
        <v>625</v>
      </c>
      <c r="AV5" s="263"/>
      <c r="AW5" s="279" t="str">
        <f ca="1">計算!B4</f>
        <v>デスタムーア3</v>
      </c>
      <c r="AX5" s="280"/>
      <c r="AY5" s="280"/>
      <c r="AZ5" s="281"/>
      <c r="BA5" s="279" t="str">
        <f ca="1">計算!B5</f>
        <v>デスタムーア3</v>
      </c>
      <c r="BB5" s="280"/>
      <c r="BC5" s="280"/>
      <c r="BD5" s="281"/>
      <c r="BE5" s="279" t="str">
        <f ca="1">計算!B6</f>
        <v>デスタムーア3</v>
      </c>
      <c r="BF5" s="280"/>
      <c r="BG5" s="280"/>
      <c r="BH5" s="281"/>
      <c r="BI5" s="279" t="str">
        <f ca="1">計算!B7</f>
        <v>デスタムーア3</v>
      </c>
      <c r="BJ5" s="280"/>
      <c r="BK5" s="280"/>
      <c r="BL5" s="281"/>
      <c r="BM5" s="279" t="str">
        <f ca="1">計算!B8</f>
        <v>デスタムーア3</v>
      </c>
      <c r="BN5" s="280"/>
      <c r="BO5" s="280"/>
      <c r="BP5" s="281"/>
      <c r="BQ5" s="279" t="str">
        <f ca="1">計算!B9</f>
        <v>ひだりて</v>
      </c>
      <c r="BR5" s="280"/>
      <c r="BS5" s="280"/>
      <c r="BT5" s="281"/>
      <c r="BU5" s="279" t="str">
        <f ca="1">計算!B10</f>
        <v>みぎて</v>
      </c>
      <c r="BV5" s="280"/>
      <c r="BW5" s="280"/>
      <c r="BX5" s="281"/>
      <c r="BY5" s="279" t="str">
        <f ca="1">計算!B11</f>
        <v>みぎて</v>
      </c>
      <c r="BZ5" s="280"/>
      <c r="CA5" s="280"/>
      <c r="CB5" s="289"/>
    </row>
    <row r="6" spans="2:82" ht="13.5" customHeight="1" x14ac:dyDescent="0.15">
      <c r="B6" s="8" t="str">
        <f ca="1">INDIRECT("基本ステータス!$C"&amp;$D6)</f>
        <v>フィールド</v>
      </c>
      <c r="C6" s="8">
        <f ca="1">INDIRECT("基本ステータス!$B"&amp;$D6)</f>
        <v>1</v>
      </c>
      <c r="D6" s="8">
        <v>3</v>
      </c>
      <c r="F6" s="8" t="s">
        <v>472</v>
      </c>
      <c r="H6" s="98" t="str">
        <f ca="1">計算!B5</f>
        <v>デスタムーア3</v>
      </c>
      <c r="I6" s="263" t="s">
        <v>614</v>
      </c>
      <c r="J6" s="263"/>
      <c r="K6" s="285">
        <f>計算!P29</f>
        <v>3</v>
      </c>
      <c r="L6" s="282"/>
      <c r="M6" s="282">
        <f>計算!P29</f>
        <v>3</v>
      </c>
      <c r="N6" s="282"/>
      <c r="O6" s="282">
        <f>計算!T29</f>
        <v>2</v>
      </c>
      <c r="P6" s="282"/>
      <c r="Q6" s="282">
        <f>計算!T29</f>
        <v>2</v>
      </c>
      <c r="R6" s="282"/>
      <c r="S6" s="282">
        <f>計算!X29</f>
        <v>1</v>
      </c>
      <c r="T6" s="282"/>
      <c r="U6" s="282">
        <f>計算!X29</f>
        <v>1</v>
      </c>
      <c r="V6" s="282"/>
      <c r="W6" s="282">
        <f>計算!AB29</f>
        <v>3</v>
      </c>
      <c r="X6" s="282"/>
      <c r="Y6" s="282">
        <f>計算!AB29</f>
        <v>3</v>
      </c>
      <c r="Z6" s="282"/>
      <c r="AA6" s="282">
        <f>計算!AF29</f>
        <v>4</v>
      </c>
      <c r="AB6" s="282"/>
      <c r="AC6" s="282">
        <f>計算!AF29</f>
        <v>4</v>
      </c>
      <c r="AD6" s="282"/>
      <c r="AE6" s="282">
        <f>計算!AJ29</f>
        <v>1</v>
      </c>
      <c r="AF6" s="282"/>
      <c r="AG6" s="282">
        <f>計算!AJ29</f>
        <v>1</v>
      </c>
      <c r="AH6" s="282"/>
      <c r="AI6" s="282">
        <f>計算!AN29</f>
        <v>4</v>
      </c>
      <c r="AJ6" s="282"/>
      <c r="AK6" s="282">
        <f>計算!AN29</f>
        <v>4</v>
      </c>
      <c r="AL6" s="282"/>
      <c r="AM6" s="282">
        <f>計算!AR29</f>
        <v>1</v>
      </c>
      <c r="AN6" s="282"/>
      <c r="AO6" s="282">
        <f>計算!AR29</f>
        <v>1</v>
      </c>
      <c r="AP6" s="283"/>
      <c r="AT6" s="98" t="str">
        <f ca="1">計算!AA5</f>
        <v>ハッサン</v>
      </c>
      <c r="AU6" s="263" t="s">
        <v>614</v>
      </c>
      <c r="AV6" s="263"/>
      <c r="AW6" s="285">
        <f>計算!P13</f>
        <v>2</v>
      </c>
      <c r="AX6" s="282"/>
      <c r="AY6" s="282">
        <f>計算!P13</f>
        <v>2</v>
      </c>
      <c r="AZ6" s="282"/>
      <c r="BA6" s="285">
        <f>計算!T13</f>
        <v>2</v>
      </c>
      <c r="BB6" s="282"/>
      <c r="BC6" s="282">
        <f>計算!T13</f>
        <v>2</v>
      </c>
      <c r="BD6" s="282"/>
      <c r="BE6" s="285">
        <f>計算!X13</f>
        <v>2</v>
      </c>
      <c r="BF6" s="282"/>
      <c r="BG6" s="282">
        <f>計算!X13</f>
        <v>2</v>
      </c>
      <c r="BH6" s="282"/>
      <c r="BI6" s="285">
        <f>計算!AB13</f>
        <v>2</v>
      </c>
      <c r="BJ6" s="282"/>
      <c r="BK6" s="282">
        <f>計算!AB13</f>
        <v>2</v>
      </c>
      <c r="BL6" s="282"/>
      <c r="BM6" s="285">
        <f>計算!AF13</f>
        <v>2</v>
      </c>
      <c r="BN6" s="282"/>
      <c r="BO6" s="282">
        <f>計算!AF13</f>
        <v>2</v>
      </c>
      <c r="BP6" s="282"/>
      <c r="BQ6" s="285">
        <f>計算!AJ13</f>
        <v>3</v>
      </c>
      <c r="BR6" s="282"/>
      <c r="BS6" s="282">
        <f>計算!AJ13</f>
        <v>3</v>
      </c>
      <c r="BT6" s="282"/>
      <c r="BU6" s="285">
        <f>計算!AN13</f>
        <v>1</v>
      </c>
      <c r="BV6" s="282"/>
      <c r="BW6" s="282">
        <f>計算!AN13</f>
        <v>1</v>
      </c>
      <c r="BX6" s="282"/>
      <c r="BY6" s="285">
        <f>計算!AR13</f>
        <v>1</v>
      </c>
      <c r="BZ6" s="282"/>
      <c r="CA6" s="282">
        <f>計算!AR13</f>
        <v>1</v>
      </c>
      <c r="CB6" s="282"/>
    </row>
    <row r="7" spans="2:82" ht="13.5" customHeight="1" x14ac:dyDescent="0.15">
      <c r="B7" s="9" t="str">
        <f t="shared" ref="B7:B70" ca="1" si="0">INDIRECT("基本ステータス!$C"&amp;$D7)</f>
        <v>とうのへいたい</v>
      </c>
      <c r="C7" s="9">
        <f t="shared" ref="C7:C70" ca="1" si="1">INDIRECT("基本ステータス!$B"&amp;$D7)</f>
        <v>2</v>
      </c>
      <c r="D7" s="9">
        <v>11</v>
      </c>
      <c r="F7" s="10" t="s">
        <v>473</v>
      </c>
      <c r="H7" s="98" t="str">
        <f ca="1">計算!B6</f>
        <v>デスタムーア3</v>
      </c>
      <c r="I7" s="263" t="s">
        <v>615</v>
      </c>
      <c r="J7" s="263"/>
      <c r="K7" s="285" t="str">
        <f>計算!P30</f>
        <v>なし</v>
      </c>
      <c r="L7" s="282"/>
      <c r="M7" s="282" t="str">
        <f>計算!P30</f>
        <v>なし</v>
      </c>
      <c r="N7" s="282"/>
      <c r="O7" s="282" t="str">
        <f>計算!T30</f>
        <v>なし</v>
      </c>
      <c r="P7" s="282"/>
      <c r="Q7" s="282" t="str">
        <f>計算!T30</f>
        <v>なし</v>
      </c>
      <c r="R7" s="282"/>
      <c r="S7" s="282" t="str">
        <f>計算!X30</f>
        <v>なし</v>
      </c>
      <c r="T7" s="282"/>
      <c r="U7" s="282" t="str">
        <f>計算!X30</f>
        <v>なし</v>
      </c>
      <c r="V7" s="282"/>
      <c r="W7" s="282" t="str">
        <f>計算!AB30</f>
        <v>なし</v>
      </c>
      <c r="X7" s="282"/>
      <c r="Y7" s="282" t="str">
        <f>計算!AB30</f>
        <v>なし</v>
      </c>
      <c r="Z7" s="282"/>
      <c r="AA7" s="282" t="str">
        <f>計算!AF30</f>
        <v>なし</v>
      </c>
      <c r="AB7" s="282"/>
      <c r="AC7" s="282" t="str">
        <f>計算!AF30</f>
        <v>なし</v>
      </c>
      <c r="AD7" s="282"/>
      <c r="AE7" s="282" t="str">
        <f>計算!AJ30</f>
        <v>なし</v>
      </c>
      <c r="AF7" s="282"/>
      <c r="AG7" s="282" t="str">
        <f>計算!AJ30</f>
        <v>なし</v>
      </c>
      <c r="AH7" s="282"/>
      <c r="AI7" s="282" t="str">
        <f>計算!AN30</f>
        <v>なし</v>
      </c>
      <c r="AJ7" s="282"/>
      <c r="AK7" s="282" t="str">
        <f>計算!AN30</f>
        <v>なし</v>
      </c>
      <c r="AL7" s="282"/>
      <c r="AM7" s="282" t="str">
        <f>計算!AR30</f>
        <v>なし</v>
      </c>
      <c r="AN7" s="282"/>
      <c r="AO7" s="282" t="str">
        <f>計算!AR30</f>
        <v>なし</v>
      </c>
      <c r="AP7" s="283"/>
      <c r="AT7" s="98" t="str">
        <f ca="1">計算!AA6</f>
        <v>ミレーユ</v>
      </c>
      <c r="AU7" s="263" t="s">
        <v>615</v>
      </c>
      <c r="AV7" s="263"/>
      <c r="AW7" s="285" t="str">
        <f>計算!P14</f>
        <v>なし</v>
      </c>
      <c r="AX7" s="282"/>
      <c r="AY7" s="282" t="str">
        <f>計算!P14</f>
        <v>なし</v>
      </c>
      <c r="AZ7" s="282"/>
      <c r="BA7" s="285" t="str">
        <f>計算!T14</f>
        <v>なし</v>
      </c>
      <c r="BB7" s="282"/>
      <c r="BC7" s="282" t="str">
        <f>計算!T14</f>
        <v>なし</v>
      </c>
      <c r="BD7" s="282"/>
      <c r="BE7" s="285" t="str">
        <f>計算!X14</f>
        <v>なし</v>
      </c>
      <c r="BF7" s="282"/>
      <c r="BG7" s="282" t="str">
        <f>計算!X14</f>
        <v>なし</v>
      </c>
      <c r="BH7" s="282"/>
      <c r="BI7" s="285" t="str">
        <f>計算!AB14</f>
        <v>なし</v>
      </c>
      <c r="BJ7" s="282"/>
      <c r="BK7" s="282" t="str">
        <f>計算!AB14</f>
        <v>なし</v>
      </c>
      <c r="BL7" s="282"/>
      <c r="BM7" s="285" t="str">
        <f>計算!AF14</f>
        <v>なし</v>
      </c>
      <c r="BN7" s="282"/>
      <c r="BO7" s="282" t="str">
        <f>計算!AF14</f>
        <v>なし</v>
      </c>
      <c r="BP7" s="282"/>
      <c r="BQ7" s="285" t="str">
        <f>計算!AJ14</f>
        <v>なし</v>
      </c>
      <c r="BR7" s="282"/>
      <c r="BS7" s="282" t="str">
        <f>計算!AJ14</f>
        <v>なし</v>
      </c>
      <c r="BT7" s="282"/>
      <c r="BU7" s="285" t="str">
        <f>計算!AN14</f>
        <v>なし</v>
      </c>
      <c r="BV7" s="282"/>
      <c r="BW7" s="282" t="str">
        <f>計算!AN14</f>
        <v>なし</v>
      </c>
      <c r="BX7" s="282"/>
      <c r="BY7" s="285" t="str">
        <f>計算!AR14</f>
        <v>なし</v>
      </c>
      <c r="BZ7" s="282"/>
      <c r="CA7" s="282" t="str">
        <f>計算!AR14</f>
        <v>なし</v>
      </c>
      <c r="CB7" s="282"/>
    </row>
    <row r="8" spans="2:82" ht="13.5" customHeight="1" x14ac:dyDescent="0.15">
      <c r="B8" s="9" t="str">
        <f t="shared" ca="1" si="0"/>
        <v>ブラディーポ</v>
      </c>
      <c r="C8" s="9">
        <f t="shared" ca="1" si="1"/>
        <v>3</v>
      </c>
      <c r="D8" s="9">
        <v>19</v>
      </c>
      <c r="H8" s="98" t="str">
        <f ca="1">計算!B7</f>
        <v>デスタムーア3</v>
      </c>
      <c r="I8" s="263" t="s">
        <v>616</v>
      </c>
      <c r="J8" s="263"/>
      <c r="K8" s="285" t="str">
        <f>計算!P31</f>
        <v>なし</v>
      </c>
      <c r="L8" s="282"/>
      <c r="M8" s="282" t="str">
        <f>計算!P31</f>
        <v>なし</v>
      </c>
      <c r="N8" s="282"/>
      <c r="O8" s="282" t="str">
        <f>計算!T31</f>
        <v>なし</v>
      </c>
      <c r="P8" s="282"/>
      <c r="Q8" s="282" t="str">
        <f>計算!T31</f>
        <v>なし</v>
      </c>
      <c r="R8" s="282"/>
      <c r="S8" s="282" t="str">
        <f>計算!X31</f>
        <v>なし</v>
      </c>
      <c r="T8" s="282"/>
      <c r="U8" s="282" t="str">
        <f>計算!X31</f>
        <v>なし</v>
      </c>
      <c r="V8" s="282"/>
      <c r="W8" s="282" t="str">
        <f>計算!AB31</f>
        <v>なし</v>
      </c>
      <c r="X8" s="282"/>
      <c r="Y8" s="282" t="str">
        <f>計算!AB31</f>
        <v>なし</v>
      </c>
      <c r="Z8" s="282"/>
      <c r="AA8" s="282" t="str">
        <f>計算!AF31</f>
        <v>なし</v>
      </c>
      <c r="AB8" s="282"/>
      <c r="AC8" s="282" t="str">
        <f>計算!AF31</f>
        <v>なし</v>
      </c>
      <c r="AD8" s="282"/>
      <c r="AE8" s="282" t="str">
        <f>計算!AJ31</f>
        <v>なし</v>
      </c>
      <c r="AF8" s="282"/>
      <c r="AG8" s="282" t="str">
        <f>計算!AJ31</f>
        <v>なし</v>
      </c>
      <c r="AH8" s="282"/>
      <c r="AI8" s="282" t="str">
        <f>計算!AN31</f>
        <v>なし</v>
      </c>
      <c r="AJ8" s="282"/>
      <c r="AK8" s="282" t="str">
        <f>計算!AN31</f>
        <v>なし</v>
      </c>
      <c r="AL8" s="282"/>
      <c r="AM8" s="282" t="str">
        <f>計算!AR31</f>
        <v>なし</v>
      </c>
      <c r="AN8" s="282"/>
      <c r="AO8" s="282" t="str">
        <f>計算!AR31</f>
        <v>なし</v>
      </c>
      <c r="AP8" s="283"/>
      <c r="AT8" s="98" t="str">
        <f ca="1">計算!AA7</f>
        <v>バーバラ</v>
      </c>
      <c r="AU8" s="263" t="s">
        <v>616</v>
      </c>
      <c r="AV8" s="263"/>
      <c r="AW8" s="285" t="str">
        <f>計算!P15</f>
        <v>なし</v>
      </c>
      <c r="AX8" s="282"/>
      <c r="AY8" s="282" t="str">
        <f>計算!P15</f>
        <v>なし</v>
      </c>
      <c r="AZ8" s="282"/>
      <c r="BA8" s="285" t="str">
        <f>計算!T15</f>
        <v>なし</v>
      </c>
      <c r="BB8" s="282"/>
      <c r="BC8" s="282" t="str">
        <f>計算!T15</f>
        <v>なし</v>
      </c>
      <c r="BD8" s="282"/>
      <c r="BE8" s="285" t="str">
        <f>計算!X15</f>
        <v>なし</v>
      </c>
      <c r="BF8" s="282"/>
      <c r="BG8" s="282" t="str">
        <f>計算!X15</f>
        <v>なし</v>
      </c>
      <c r="BH8" s="282"/>
      <c r="BI8" s="285" t="str">
        <f>計算!AB15</f>
        <v>なし</v>
      </c>
      <c r="BJ8" s="282"/>
      <c r="BK8" s="282" t="str">
        <f>計算!AB15</f>
        <v>なし</v>
      </c>
      <c r="BL8" s="282"/>
      <c r="BM8" s="285" t="str">
        <f>計算!AF15</f>
        <v>なし</v>
      </c>
      <c r="BN8" s="282"/>
      <c r="BO8" s="282" t="str">
        <f>計算!AF15</f>
        <v>なし</v>
      </c>
      <c r="BP8" s="282"/>
      <c r="BQ8" s="285" t="str">
        <f>計算!AJ15</f>
        <v>なし</v>
      </c>
      <c r="BR8" s="282"/>
      <c r="BS8" s="282" t="str">
        <f>計算!AJ15</f>
        <v>なし</v>
      </c>
      <c r="BT8" s="282"/>
      <c r="BU8" s="285" t="str">
        <f>計算!AN15</f>
        <v>なし</v>
      </c>
      <c r="BV8" s="282"/>
      <c r="BW8" s="282" t="str">
        <f>計算!AN15</f>
        <v>なし</v>
      </c>
      <c r="BX8" s="282"/>
      <c r="BY8" s="285" t="str">
        <f>計算!AR15</f>
        <v>なし</v>
      </c>
      <c r="BZ8" s="282"/>
      <c r="CA8" s="282" t="str">
        <f>計算!AR15</f>
        <v>なし</v>
      </c>
      <c r="CB8" s="282"/>
    </row>
    <row r="9" spans="2:82" x14ac:dyDescent="0.15">
      <c r="B9" s="9" t="str">
        <f t="shared" ca="1" si="0"/>
        <v>北の洞窟</v>
      </c>
      <c r="C9" s="9">
        <f t="shared" ca="1" si="1"/>
        <v>4</v>
      </c>
      <c r="D9" s="9">
        <v>27</v>
      </c>
      <c r="F9" s="2" t="s">
        <v>571</v>
      </c>
      <c r="H9" s="98" t="str">
        <f ca="1">計算!B8</f>
        <v>デスタムーア3</v>
      </c>
      <c r="I9" s="263" t="s">
        <v>617</v>
      </c>
      <c r="J9" s="263"/>
      <c r="K9" s="285" t="str">
        <f>計算!P32</f>
        <v>なし</v>
      </c>
      <c r="L9" s="282"/>
      <c r="M9" s="282" t="str">
        <f>計算!P32</f>
        <v>なし</v>
      </c>
      <c r="N9" s="282"/>
      <c r="O9" s="282" t="str">
        <f>計算!T32</f>
        <v>なし</v>
      </c>
      <c r="P9" s="282"/>
      <c r="Q9" s="282" t="str">
        <f>計算!T32</f>
        <v>なし</v>
      </c>
      <c r="R9" s="282"/>
      <c r="S9" s="282" t="str">
        <f>計算!X32</f>
        <v>なし</v>
      </c>
      <c r="T9" s="282"/>
      <c r="U9" s="282" t="str">
        <f>計算!X32</f>
        <v>なし</v>
      </c>
      <c r="V9" s="282"/>
      <c r="W9" s="282" t="str">
        <f>計算!AB32</f>
        <v>なし</v>
      </c>
      <c r="X9" s="282"/>
      <c r="Y9" s="282" t="str">
        <f>計算!AB32</f>
        <v>なし</v>
      </c>
      <c r="Z9" s="282"/>
      <c r="AA9" s="282" t="str">
        <f>計算!AF32</f>
        <v>なし</v>
      </c>
      <c r="AB9" s="282"/>
      <c r="AC9" s="282" t="str">
        <f>計算!AF32</f>
        <v>なし</v>
      </c>
      <c r="AD9" s="282"/>
      <c r="AE9" s="282" t="str">
        <f>計算!AJ32</f>
        <v>なし</v>
      </c>
      <c r="AF9" s="282"/>
      <c r="AG9" s="282" t="str">
        <f>計算!AJ32</f>
        <v>なし</v>
      </c>
      <c r="AH9" s="282"/>
      <c r="AI9" s="282" t="str">
        <f>計算!AN32</f>
        <v>なし</v>
      </c>
      <c r="AJ9" s="282"/>
      <c r="AK9" s="282" t="str">
        <f>計算!AN32</f>
        <v>なし</v>
      </c>
      <c r="AL9" s="282"/>
      <c r="AM9" s="282" t="str">
        <f>計算!AR32</f>
        <v>なし</v>
      </c>
      <c r="AN9" s="282"/>
      <c r="AO9" s="282" t="str">
        <f>計算!AR32</f>
        <v>なし</v>
      </c>
      <c r="AP9" s="283"/>
      <c r="AT9" s="98" t="str">
        <f ca="1">計算!AA8</f>
        <v>チャモロ</v>
      </c>
      <c r="AU9" s="263" t="s">
        <v>617</v>
      </c>
      <c r="AV9" s="263"/>
      <c r="AW9" s="285" t="str">
        <f>計算!P16</f>
        <v>なし</v>
      </c>
      <c r="AX9" s="282"/>
      <c r="AY9" s="282" t="str">
        <f>計算!P16</f>
        <v>なし</v>
      </c>
      <c r="AZ9" s="282"/>
      <c r="BA9" s="285" t="str">
        <f>計算!T16</f>
        <v>なし</v>
      </c>
      <c r="BB9" s="282"/>
      <c r="BC9" s="282" t="str">
        <f>計算!T16</f>
        <v>なし</v>
      </c>
      <c r="BD9" s="282"/>
      <c r="BE9" s="285" t="str">
        <f>計算!X16</f>
        <v>なし</v>
      </c>
      <c r="BF9" s="282"/>
      <c r="BG9" s="282" t="str">
        <f>計算!X16</f>
        <v>なし</v>
      </c>
      <c r="BH9" s="282"/>
      <c r="BI9" s="285" t="str">
        <f>計算!AB16</f>
        <v>なし</v>
      </c>
      <c r="BJ9" s="282"/>
      <c r="BK9" s="282" t="str">
        <f>計算!AB16</f>
        <v>なし</v>
      </c>
      <c r="BL9" s="282"/>
      <c r="BM9" s="285" t="str">
        <f>計算!AF16</f>
        <v>なし</v>
      </c>
      <c r="BN9" s="282"/>
      <c r="BO9" s="282" t="str">
        <f>計算!AF16</f>
        <v>なし</v>
      </c>
      <c r="BP9" s="282"/>
      <c r="BQ9" s="285" t="str">
        <f>計算!AJ16</f>
        <v>なし</v>
      </c>
      <c r="BR9" s="282"/>
      <c r="BS9" s="282" t="str">
        <f>計算!AJ16</f>
        <v>なし</v>
      </c>
      <c r="BT9" s="282"/>
      <c r="BU9" s="285" t="str">
        <f>計算!AN16</f>
        <v>なし</v>
      </c>
      <c r="BV9" s="282"/>
      <c r="BW9" s="282" t="str">
        <f>計算!AN16</f>
        <v>なし</v>
      </c>
      <c r="BX9" s="282"/>
      <c r="BY9" s="285" t="str">
        <f>計算!AR16</f>
        <v>なし</v>
      </c>
      <c r="BZ9" s="282"/>
      <c r="CA9" s="282" t="str">
        <f>計算!AR16</f>
        <v>なし</v>
      </c>
      <c r="CB9" s="282"/>
    </row>
    <row r="10" spans="2:82" x14ac:dyDescent="0.15">
      <c r="B10" s="9" t="str">
        <f t="shared" ca="1" si="0"/>
        <v>ホラービースト</v>
      </c>
      <c r="C10" s="9">
        <f t="shared" ca="1" si="1"/>
        <v>5</v>
      </c>
      <c r="D10" s="9">
        <v>35</v>
      </c>
      <c r="F10" s="8">
        <v>1</v>
      </c>
      <c r="H10" s="98" t="str">
        <f ca="1">計算!B9</f>
        <v>ひだりて</v>
      </c>
      <c r="I10" s="263" t="s">
        <v>618</v>
      </c>
      <c r="J10" s="263"/>
      <c r="K10" s="285">
        <f>計算!P33</f>
        <v>0</v>
      </c>
      <c r="L10" s="282"/>
      <c r="M10" s="282">
        <f>計算!P33</f>
        <v>0</v>
      </c>
      <c r="N10" s="282"/>
      <c r="O10" s="282">
        <f>計算!T33</f>
        <v>0</v>
      </c>
      <c r="P10" s="282"/>
      <c r="Q10" s="282">
        <f>計算!T33</f>
        <v>0</v>
      </c>
      <c r="R10" s="282"/>
      <c r="S10" s="282">
        <f>計算!X33</f>
        <v>0</v>
      </c>
      <c r="T10" s="282"/>
      <c r="U10" s="282">
        <f>計算!X33</f>
        <v>0</v>
      </c>
      <c r="V10" s="282"/>
      <c r="W10" s="282">
        <f>計算!AB33</f>
        <v>0</v>
      </c>
      <c r="X10" s="282"/>
      <c r="Y10" s="282">
        <f>計算!AB33</f>
        <v>0</v>
      </c>
      <c r="Z10" s="282"/>
      <c r="AA10" s="282">
        <f>計算!AF33</f>
        <v>0</v>
      </c>
      <c r="AB10" s="282"/>
      <c r="AC10" s="282">
        <f>計算!AF33</f>
        <v>0</v>
      </c>
      <c r="AD10" s="282"/>
      <c r="AE10" s="282">
        <f>計算!AJ33</f>
        <v>0</v>
      </c>
      <c r="AF10" s="282"/>
      <c r="AG10" s="282">
        <f>計算!AJ33</f>
        <v>0</v>
      </c>
      <c r="AH10" s="282"/>
      <c r="AI10" s="282">
        <f>計算!AN33</f>
        <v>0</v>
      </c>
      <c r="AJ10" s="282"/>
      <c r="AK10" s="282">
        <f>計算!AN33</f>
        <v>0</v>
      </c>
      <c r="AL10" s="282"/>
      <c r="AM10" s="282">
        <f>計算!AR33</f>
        <v>0</v>
      </c>
      <c r="AN10" s="282"/>
      <c r="AO10" s="282">
        <f>計算!AR33</f>
        <v>0</v>
      </c>
      <c r="AP10" s="283"/>
      <c r="AT10" s="98" t="str">
        <f ca="1">計算!AA9</f>
        <v>アモス</v>
      </c>
      <c r="AU10" s="263" t="s">
        <v>618</v>
      </c>
      <c r="AV10" s="263"/>
      <c r="AW10" s="285">
        <f>計算!P17</f>
        <v>0</v>
      </c>
      <c r="AX10" s="282"/>
      <c r="AY10" s="282">
        <f>計算!P17</f>
        <v>0</v>
      </c>
      <c r="AZ10" s="282"/>
      <c r="BA10" s="285">
        <f>計算!T17</f>
        <v>0</v>
      </c>
      <c r="BB10" s="282"/>
      <c r="BC10" s="282">
        <f>計算!T17</f>
        <v>0</v>
      </c>
      <c r="BD10" s="282"/>
      <c r="BE10" s="285">
        <f>計算!X17</f>
        <v>0</v>
      </c>
      <c r="BF10" s="282"/>
      <c r="BG10" s="282">
        <f>計算!X17</f>
        <v>0</v>
      </c>
      <c r="BH10" s="282"/>
      <c r="BI10" s="285">
        <f>計算!AB17</f>
        <v>0</v>
      </c>
      <c r="BJ10" s="282"/>
      <c r="BK10" s="282">
        <f>計算!AB17</f>
        <v>0</v>
      </c>
      <c r="BL10" s="282"/>
      <c r="BM10" s="285">
        <f>計算!AF17</f>
        <v>0</v>
      </c>
      <c r="BN10" s="282"/>
      <c r="BO10" s="282">
        <f>計算!AF17</f>
        <v>0</v>
      </c>
      <c r="BP10" s="282"/>
      <c r="BQ10" s="285">
        <f>計算!AJ17</f>
        <v>0</v>
      </c>
      <c r="BR10" s="282"/>
      <c r="BS10" s="282">
        <f>計算!AJ17</f>
        <v>0</v>
      </c>
      <c r="BT10" s="282"/>
      <c r="BU10" s="285">
        <f>計算!AN17</f>
        <v>0</v>
      </c>
      <c r="BV10" s="282"/>
      <c r="BW10" s="282">
        <f>計算!AN17</f>
        <v>0</v>
      </c>
      <c r="BX10" s="282"/>
      <c r="BY10" s="285">
        <f>計算!AR17</f>
        <v>0</v>
      </c>
      <c r="BZ10" s="282"/>
      <c r="CA10" s="282">
        <f>計算!AR17</f>
        <v>0</v>
      </c>
      <c r="CB10" s="282"/>
    </row>
    <row r="11" spans="2:82" x14ac:dyDescent="0.15">
      <c r="B11" s="9" t="str">
        <f t="shared" ca="1" si="0"/>
        <v>ポイズンゾンビ</v>
      </c>
      <c r="C11" s="9">
        <f t="shared" ca="1" si="1"/>
        <v>6</v>
      </c>
      <c r="D11" s="9">
        <v>43</v>
      </c>
      <c r="F11" s="9">
        <v>2</v>
      </c>
      <c r="H11" s="98" t="str">
        <f ca="1">計算!B10</f>
        <v>みぎて</v>
      </c>
      <c r="I11" s="263" t="s">
        <v>619</v>
      </c>
      <c r="J11" s="263"/>
      <c r="K11" s="285">
        <f>計算!P34</f>
        <v>0</v>
      </c>
      <c r="L11" s="282"/>
      <c r="M11" s="282">
        <f>計算!P34</f>
        <v>0</v>
      </c>
      <c r="N11" s="282"/>
      <c r="O11" s="282">
        <f>計算!T34</f>
        <v>0</v>
      </c>
      <c r="P11" s="282"/>
      <c r="Q11" s="282">
        <f>計算!T34</f>
        <v>0</v>
      </c>
      <c r="R11" s="282"/>
      <c r="S11" s="282">
        <f>計算!X34</f>
        <v>0</v>
      </c>
      <c r="T11" s="282"/>
      <c r="U11" s="282">
        <f>計算!X34</f>
        <v>0</v>
      </c>
      <c r="V11" s="282"/>
      <c r="W11" s="282">
        <f>計算!AB34</f>
        <v>0</v>
      </c>
      <c r="X11" s="282"/>
      <c r="Y11" s="282">
        <f>計算!AB34</f>
        <v>0</v>
      </c>
      <c r="Z11" s="282"/>
      <c r="AA11" s="282">
        <f>計算!AF34</f>
        <v>0</v>
      </c>
      <c r="AB11" s="282"/>
      <c r="AC11" s="282">
        <f>計算!AF34</f>
        <v>0</v>
      </c>
      <c r="AD11" s="282"/>
      <c r="AE11" s="282">
        <f>計算!AJ34</f>
        <v>0</v>
      </c>
      <c r="AF11" s="282"/>
      <c r="AG11" s="282">
        <f>計算!AJ34</f>
        <v>0</v>
      </c>
      <c r="AH11" s="282"/>
      <c r="AI11" s="282">
        <f>計算!AN34</f>
        <v>0</v>
      </c>
      <c r="AJ11" s="282"/>
      <c r="AK11" s="282">
        <f>計算!AN34</f>
        <v>0</v>
      </c>
      <c r="AL11" s="282"/>
      <c r="AM11" s="282">
        <f>計算!AR34</f>
        <v>0</v>
      </c>
      <c r="AN11" s="282"/>
      <c r="AO11" s="282">
        <f>計算!AR34</f>
        <v>0</v>
      </c>
      <c r="AP11" s="283"/>
      <c r="AT11" s="98" t="str">
        <f ca="1">計算!AA10</f>
        <v>テリー</v>
      </c>
      <c r="AU11" s="263" t="s">
        <v>619</v>
      </c>
      <c r="AV11" s="263"/>
      <c r="AW11" s="285">
        <f>計算!P18</f>
        <v>0</v>
      </c>
      <c r="AX11" s="282"/>
      <c r="AY11" s="282">
        <f>計算!P18</f>
        <v>0</v>
      </c>
      <c r="AZ11" s="282"/>
      <c r="BA11" s="285">
        <f>計算!T18</f>
        <v>0</v>
      </c>
      <c r="BB11" s="282"/>
      <c r="BC11" s="282">
        <f>計算!T18</f>
        <v>0</v>
      </c>
      <c r="BD11" s="282"/>
      <c r="BE11" s="285">
        <f>計算!X18</f>
        <v>0</v>
      </c>
      <c r="BF11" s="282"/>
      <c r="BG11" s="282">
        <f>計算!X18</f>
        <v>0</v>
      </c>
      <c r="BH11" s="282"/>
      <c r="BI11" s="285">
        <f>計算!AB18</f>
        <v>0</v>
      </c>
      <c r="BJ11" s="282"/>
      <c r="BK11" s="282">
        <f>計算!AB18</f>
        <v>0</v>
      </c>
      <c r="BL11" s="282"/>
      <c r="BM11" s="285">
        <f>計算!AF18</f>
        <v>0</v>
      </c>
      <c r="BN11" s="282"/>
      <c r="BO11" s="282">
        <f>計算!AF18</f>
        <v>0</v>
      </c>
      <c r="BP11" s="282"/>
      <c r="BQ11" s="285">
        <f>計算!AJ18</f>
        <v>0</v>
      </c>
      <c r="BR11" s="282"/>
      <c r="BS11" s="282">
        <f>計算!AJ18</f>
        <v>0</v>
      </c>
      <c r="BT11" s="282"/>
      <c r="BU11" s="285">
        <f>計算!AN18</f>
        <v>0</v>
      </c>
      <c r="BV11" s="282"/>
      <c r="BW11" s="282">
        <f>計算!AN18</f>
        <v>0</v>
      </c>
      <c r="BX11" s="282"/>
      <c r="BY11" s="285">
        <f>計算!AR18</f>
        <v>0</v>
      </c>
      <c r="BZ11" s="282"/>
      <c r="CA11" s="282">
        <f>計算!AR18</f>
        <v>0</v>
      </c>
      <c r="CB11" s="282"/>
    </row>
    <row r="12" spans="2:82" x14ac:dyDescent="0.15">
      <c r="B12" s="9" t="str">
        <f t="shared" ca="1" si="0"/>
        <v>ムドー1</v>
      </c>
      <c r="C12" s="9">
        <f t="shared" ca="1" si="1"/>
        <v>7</v>
      </c>
      <c r="D12" s="9">
        <v>51</v>
      </c>
      <c r="F12" s="9">
        <v>3</v>
      </c>
      <c r="H12" s="98" t="str">
        <f ca="1">計算!B11</f>
        <v>みぎて</v>
      </c>
      <c r="I12" s="263" t="s">
        <v>620</v>
      </c>
      <c r="J12" s="263"/>
      <c r="K12" s="285">
        <v>2</v>
      </c>
      <c r="L12" s="282"/>
      <c r="M12" s="282">
        <v>2</v>
      </c>
      <c r="N12" s="282"/>
      <c r="O12" s="282">
        <v>3</v>
      </c>
      <c r="P12" s="282"/>
      <c r="Q12" s="282">
        <v>3</v>
      </c>
      <c r="R12" s="282"/>
      <c r="S12" s="282">
        <v>4</v>
      </c>
      <c r="T12" s="282"/>
      <c r="U12" s="282">
        <v>4</v>
      </c>
      <c r="V12" s="282"/>
      <c r="W12" s="282">
        <v>5</v>
      </c>
      <c r="X12" s="282"/>
      <c r="Y12" s="282">
        <v>5</v>
      </c>
      <c r="Z12" s="282"/>
      <c r="AA12" s="282">
        <v>6</v>
      </c>
      <c r="AB12" s="282"/>
      <c r="AC12" s="282">
        <v>6</v>
      </c>
      <c r="AD12" s="282"/>
      <c r="AE12" s="282">
        <v>7</v>
      </c>
      <c r="AF12" s="282"/>
      <c r="AG12" s="282">
        <v>7</v>
      </c>
      <c r="AH12" s="282"/>
      <c r="AI12" s="282">
        <v>8</v>
      </c>
      <c r="AJ12" s="282"/>
      <c r="AK12" s="282">
        <v>8</v>
      </c>
      <c r="AL12" s="282"/>
      <c r="AM12" s="282">
        <v>9</v>
      </c>
      <c r="AN12" s="282"/>
      <c r="AO12" s="282">
        <v>9</v>
      </c>
      <c r="AP12" s="283"/>
      <c r="AT12" s="98" t="str">
        <f ca="1">計算!AA11</f>
        <v>ドランゴ</v>
      </c>
      <c r="AU12" s="263" t="s">
        <v>620</v>
      </c>
      <c r="AV12" s="263"/>
      <c r="AW12" s="285">
        <v>2</v>
      </c>
      <c r="AX12" s="282"/>
      <c r="AY12" s="282">
        <v>2</v>
      </c>
      <c r="AZ12" s="282"/>
      <c r="BA12" s="282">
        <v>3</v>
      </c>
      <c r="BB12" s="282"/>
      <c r="BC12" s="282">
        <v>3</v>
      </c>
      <c r="BD12" s="282"/>
      <c r="BE12" s="282">
        <v>4</v>
      </c>
      <c r="BF12" s="282"/>
      <c r="BG12" s="282">
        <v>4</v>
      </c>
      <c r="BH12" s="282"/>
      <c r="BI12" s="282">
        <v>5</v>
      </c>
      <c r="BJ12" s="282"/>
      <c r="BK12" s="282">
        <v>5</v>
      </c>
      <c r="BL12" s="282"/>
      <c r="BM12" s="282">
        <v>6</v>
      </c>
      <c r="BN12" s="282"/>
      <c r="BO12" s="282">
        <v>6</v>
      </c>
      <c r="BP12" s="282"/>
      <c r="BQ12" s="282">
        <v>7</v>
      </c>
      <c r="BR12" s="282"/>
      <c r="BS12" s="282">
        <v>7</v>
      </c>
      <c r="BT12" s="282"/>
      <c r="BU12" s="282">
        <v>8</v>
      </c>
      <c r="BV12" s="282"/>
      <c r="BW12" s="282">
        <v>8</v>
      </c>
      <c r="BX12" s="282"/>
      <c r="BY12" s="282">
        <v>9</v>
      </c>
      <c r="BZ12" s="282"/>
      <c r="CA12" s="282">
        <v>9</v>
      </c>
      <c r="CB12" s="283"/>
    </row>
    <row r="13" spans="2:82" x14ac:dyDescent="0.15">
      <c r="B13" s="9" t="str">
        <f t="shared" ca="1" si="0"/>
        <v>ヘルビースト</v>
      </c>
      <c r="C13" s="9">
        <f t="shared" ca="1" si="1"/>
        <v>8</v>
      </c>
      <c r="D13" s="9">
        <v>59</v>
      </c>
      <c r="F13" s="9">
        <v>4</v>
      </c>
    </row>
    <row r="14" spans="2:82" x14ac:dyDescent="0.15">
      <c r="B14" s="9" t="str">
        <f t="shared" ca="1" si="0"/>
        <v>ビッグ＆スモッグ</v>
      </c>
      <c r="C14" s="9">
        <f t="shared" ca="1" si="1"/>
        <v>9</v>
      </c>
      <c r="D14" s="9">
        <v>67</v>
      </c>
      <c r="F14" s="9">
        <v>5</v>
      </c>
      <c r="H14" s="267" t="s">
        <v>573</v>
      </c>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9"/>
      <c r="AT14" s="267" t="s">
        <v>572</v>
      </c>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9"/>
    </row>
    <row r="15" spans="2:82" x14ac:dyDescent="0.15">
      <c r="B15" s="9" t="str">
        <f t="shared" ca="1" si="0"/>
        <v>ムドー2</v>
      </c>
      <c r="C15" s="9">
        <f t="shared" ca="1" si="1"/>
        <v>10</v>
      </c>
      <c r="D15" s="9">
        <v>75</v>
      </c>
      <c r="F15" s="9">
        <v>6</v>
      </c>
      <c r="H15" s="103" t="s">
        <v>574</v>
      </c>
      <c r="I15" s="101" t="s">
        <v>201</v>
      </c>
      <c r="J15" s="104" t="s">
        <v>579</v>
      </c>
      <c r="K15" s="279" t="str">
        <f ca="1">K$5</f>
        <v>主人公</v>
      </c>
      <c r="L15" s="280"/>
      <c r="M15" s="280"/>
      <c r="N15" s="281"/>
      <c r="O15" s="279" t="str">
        <f t="shared" ref="O15" ca="1" si="2">O$5</f>
        <v>ハッサン</v>
      </c>
      <c r="P15" s="280"/>
      <c r="Q15" s="280"/>
      <c r="R15" s="281"/>
      <c r="S15" s="279" t="str">
        <f t="shared" ref="S15" ca="1" si="3">S$5</f>
        <v>ミレーユ</v>
      </c>
      <c r="T15" s="280"/>
      <c r="U15" s="280"/>
      <c r="V15" s="281"/>
      <c r="W15" s="279" t="str">
        <f t="shared" ref="W15" ca="1" si="4">W$5</f>
        <v>バーバラ</v>
      </c>
      <c r="X15" s="280"/>
      <c r="Y15" s="280"/>
      <c r="Z15" s="281"/>
      <c r="AA15" s="279" t="str">
        <f t="shared" ref="AA15" ca="1" si="5">AA$5</f>
        <v>チャモロ</v>
      </c>
      <c r="AB15" s="280"/>
      <c r="AC15" s="280"/>
      <c r="AD15" s="281"/>
      <c r="AE15" s="279" t="str">
        <f t="shared" ref="AE15" ca="1" si="6">AE$5</f>
        <v>アモス</v>
      </c>
      <c r="AF15" s="280"/>
      <c r="AG15" s="280"/>
      <c r="AH15" s="281"/>
      <c r="AI15" s="279" t="str">
        <f t="shared" ref="AI15" ca="1" si="7">AI$5</f>
        <v>テリー</v>
      </c>
      <c r="AJ15" s="280"/>
      <c r="AK15" s="280"/>
      <c r="AL15" s="281"/>
      <c r="AM15" s="279" t="str">
        <f t="shared" ref="AM15" ca="1" si="8">AM$5</f>
        <v>ドランゴ</v>
      </c>
      <c r="AN15" s="280"/>
      <c r="AO15" s="280"/>
      <c r="AP15" s="281"/>
      <c r="AQ15" s="2" t="s">
        <v>612</v>
      </c>
      <c r="AR15" s="117"/>
      <c r="AT15" s="103" t="s">
        <v>574</v>
      </c>
      <c r="AU15" s="101" t="s">
        <v>201</v>
      </c>
      <c r="AV15" s="101" t="s">
        <v>579</v>
      </c>
      <c r="AW15" s="264" t="str">
        <f ca="1">AW5</f>
        <v>デスタムーア3</v>
      </c>
      <c r="AX15" s="265"/>
      <c r="AY15" s="265"/>
      <c r="AZ15" s="266"/>
      <c r="BA15" s="264" t="str">
        <f t="shared" ref="BA15" ca="1" si="9">BA5</f>
        <v>デスタムーア3</v>
      </c>
      <c r="BB15" s="265"/>
      <c r="BC15" s="265"/>
      <c r="BD15" s="266"/>
      <c r="BE15" s="264" t="str">
        <f t="shared" ref="BE15" ca="1" si="10">BE5</f>
        <v>デスタムーア3</v>
      </c>
      <c r="BF15" s="265"/>
      <c r="BG15" s="265"/>
      <c r="BH15" s="266"/>
      <c r="BI15" s="264" t="str">
        <f t="shared" ref="BI15" ca="1" si="11">BI5</f>
        <v>デスタムーア3</v>
      </c>
      <c r="BJ15" s="265"/>
      <c r="BK15" s="265"/>
      <c r="BL15" s="266"/>
      <c r="BM15" s="264" t="str">
        <f t="shared" ref="BM15" ca="1" si="12">BM5</f>
        <v>デスタムーア3</v>
      </c>
      <c r="BN15" s="265"/>
      <c r="BO15" s="265"/>
      <c r="BP15" s="266"/>
      <c r="BQ15" s="264" t="str">
        <f t="shared" ref="BQ15" ca="1" si="13">BQ5</f>
        <v>ひだりて</v>
      </c>
      <c r="BR15" s="265"/>
      <c r="BS15" s="265"/>
      <c r="BT15" s="266"/>
      <c r="BU15" s="264" t="str">
        <f t="shared" ref="BU15" ca="1" si="14">BU5</f>
        <v>みぎて</v>
      </c>
      <c r="BV15" s="265"/>
      <c r="BW15" s="265"/>
      <c r="BX15" s="266"/>
      <c r="BY15" s="264" t="str">
        <f t="shared" ref="BY15" ca="1" si="15">BY5</f>
        <v>みぎて</v>
      </c>
      <c r="BZ15" s="265"/>
      <c r="CA15" s="265"/>
      <c r="CB15" s="266"/>
      <c r="CC15" s="127" t="s">
        <v>205</v>
      </c>
      <c r="CD15" s="127"/>
    </row>
    <row r="16" spans="2:82" x14ac:dyDescent="0.15">
      <c r="B16" s="9" t="str">
        <f t="shared" ca="1" si="0"/>
        <v>ムドー3</v>
      </c>
      <c r="C16" s="9">
        <f t="shared" ca="1" si="1"/>
        <v>11</v>
      </c>
      <c r="D16" s="9">
        <v>83</v>
      </c>
      <c r="F16" s="9">
        <v>7</v>
      </c>
      <c r="H16" s="98" t="str">
        <f ca="1">$H5</f>
        <v>デスタムーア3</v>
      </c>
      <c r="I16" s="108" t="str">
        <f>IF(計算!F36="","",VLOOKUP(計算!F36,敵技,4,0))</f>
        <v>なし</v>
      </c>
      <c r="J16" s="106" t="str">
        <f>IF(計算!F36="","",VLOOKUP(計算!F36,敵技,5,0))</f>
        <v>無視</v>
      </c>
      <c r="K16" s="257">
        <f ca="1">IF(OR($H16="",K$15=""),"",MAX(0,ROUNDDOWN((計算!$I4-ROUNDDOWN((計算!$AG$4+MAX(-(計算!$AG$4),MIN(200,(ROUNDDOWN(計算!$AG$4/2,0)*K$10+ROUNDDOWN(計算!$AG$4/4,0)*K$11))))/2,0))/2,0)-(1+ROUNDDOWN(ROUNDDOWN((計算!$I4-ROUNDDOWN((計算!$AG$4+MAX(-(計算!$AG$4),MIN(200,(ROUNDDOWN(計算!$AG$4/2,0)*K$10+ROUNDDOWN(計算!$AG$4/4,0)*K$11))))/2,0))/2,0)/16,0))))</f>
        <v>89</v>
      </c>
      <c r="L16" s="258"/>
      <c r="M16" s="259">
        <f ca="1">IF(OR($H16="",K$15=""),"",MAX(1,ROUNDDOWN((計算!$I4-ROUNDDOWN((計算!$AG$4+MAX(-(計算!$AG$4),MIN(200,(ROUNDDOWN(計算!$AG$4/2,0)*K$10+ROUNDDOWN(計算!$AG$4/4,0)*K$11))))/2,0))/2,0)+(1+ROUNDDOWN(ROUNDDOWN((計算!$I4-ROUNDDOWN((計算!$AG$4+MAX(-(計算!$AG$4),MIN(200,(ROUNDDOWN(計算!$AG$4/2,0)*K$10+ROUNDDOWN(計算!$AG$4/4,0)*K$11))))/2,0))/2,0)/16,0))))</f>
        <v>103</v>
      </c>
      <c r="N16" s="260"/>
      <c r="O16" s="257">
        <f ca="1">IF(OR($H16="",O$15=""),"",MAX(0,ROUNDDOWN((計算!$I4-ROUNDDOWN((計算!$AG$5+MAX(-(計算!$AG$5),MIN(200,(ROUNDDOWN(計算!$AG$5/2,0)*O$10+ROUNDDOWN(計算!$AG$5/4,0)*O$11))))/2,0))/2,0)-(1+ROUNDDOWN(ROUNDDOWN((計算!$I4-ROUNDDOWN((計算!$AG$5+MAX(-(計算!$AG$5),MIN(200,(ROUNDDOWN(計算!$AG$5/2,0)*O$10+ROUNDDOWN(計算!$AG$5/4,0)*O$11))))/2,0))/2,0)/16,0))))</f>
        <v>75</v>
      </c>
      <c r="P16" s="258"/>
      <c r="Q16" s="259">
        <f ca="1">IF(OR($H16="",O$15=""),"",MAX(1,ROUNDDOWN((計算!$I4-ROUNDDOWN((計算!$AG$5+MAX(-(計算!$AG$5),MIN(200,(ROUNDDOWN(計算!$AG$5/2,0)*O$10+ROUNDDOWN(計算!$AG$5/4,0)*O$11))))/2,0))/2,0)+(1+ROUNDDOWN(ROUNDDOWN((計算!$I4-ROUNDDOWN((計算!$AG$5+MAX(-(計算!$AG$5),MIN(200,(ROUNDDOWN(計算!$AG$5/2,0)*O$10+ROUNDDOWN(計算!$AG$5/4,0)*O$11))))/2,0))/2,0)/16,0))))</f>
        <v>87</v>
      </c>
      <c r="R16" s="260"/>
      <c r="S16" s="257">
        <f ca="1">IF(OR($H16="",S$15=""),"",MAX(0,ROUNDDOWN((計算!$I4-ROUNDDOWN((計算!$AG$6+MAX(-(計算!$AG$6),MIN(200,(ROUNDDOWN(計算!$AG$6/2,0)*S$10+ROUNDDOWN(計算!$AG$6/4,0)*S$11))))/2,0))/2,0)-(1+ROUNDDOWN(ROUNDDOWN((計算!$I4-ROUNDDOWN((計算!$AG$6+MAX(-(計算!$AG$6),MIN(200,(ROUNDDOWN(計算!$AG$6/2,0)*S$10+ROUNDDOWN(計算!$AG$6/4,0)*S$11))))/2,0))/2,0)/16,0))))</f>
        <v>115</v>
      </c>
      <c r="T16" s="258"/>
      <c r="U16" s="259">
        <f ca="1">IF(OR($H16="",S$15=""),"",MAX(1,ROUNDDOWN((計算!$I4-ROUNDDOWN((計算!$AG$6+MAX(-(計算!$AG$6),MIN(200,(ROUNDDOWN(計算!$AG$6/2,0)*S$10+ROUNDDOWN(計算!$AG$6/4,0)*S$11))))/2,0))/2,0)+(1+ROUNDDOWN(ROUNDDOWN((計算!$I4-ROUNDDOWN((計算!$AG$6+MAX(-(計算!$AG$6),MIN(200,(ROUNDDOWN(計算!$AG$6/2,0)*S$10+ROUNDDOWN(計算!$AG$6/4,0)*S$11))))/2,0))/2,0)/16,0))))</f>
        <v>131</v>
      </c>
      <c r="V16" s="260"/>
      <c r="W16" s="257">
        <f ca="1">IF(OR($H16="",W$15=""),"",MAX(0,ROUNDDOWN((計算!$I4-ROUNDDOWN((計算!$AG$7+MAX(-(計算!$AG$7),MIN(200,(ROUNDDOWN(計算!$AG$7/2,0)*W$10+ROUNDDOWN(計算!$AG$7/4,0)*W$11))))/2,0))/2,0)-(1+ROUNDDOWN(ROUNDDOWN((計算!$I4-ROUNDDOWN((計算!$AG$7+MAX(-(計算!$AG$7),MIN(200,(ROUNDDOWN(計算!$AG$7/2,0)*W$10+ROUNDDOWN(計算!$AG$7/4,0)*W$11))))/2,0))/2,0)/16,0))))</f>
        <v>128</v>
      </c>
      <c r="X16" s="258"/>
      <c r="Y16" s="259">
        <f ca="1">IF(OR($H16="",W$15=""),"",MAX(1,ROUNDDOWN((計算!$I4-ROUNDDOWN((計算!$AG$7+MAX(-(計算!$AG$7),MIN(200,(ROUNDDOWN(計算!$AG$7/2,0)*W$10+ROUNDDOWN(計算!$AG$7/4,0)*W$11))))/2,0))/2,0)+(1+ROUNDDOWN(ROUNDDOWN((計算!$I4-ROUNDDOWN((計算!$AG$7+MAX(-(計算!$AG$7),MIN(200,(ROUNDDOWN(計算!$AG$7/2,0)*W$10+ROUNDDOWN(計算!$AG$7/4,0)*W$11))))/2,0))/2,0)/16,0))))</f>
        <v>146</v>
      </c>
      <c r="Z16" s="260"/>
      <c r="AA16" s="257">
        <f ca="1">IF(OR($H16="",AA$15=""),"",MAX(0,ROUNDDOWN((計算!$I4-ROUNDDOWN((計算!$AG$8+MAX(-(計算!$AG$8),MIN(200,(ROUNDDOWN(計算!$AG$8/2,0)*AA$10+ROUNDDOWN(計算!$AG$8/4,0)*AA$11))))/2,0))/2,0)-(1+ROUNDDOWN(ROUNDDOWN((計算!$I4-ROUNDDOWN((計算!$AG$8+MAX(-(計算!$AG$8),MIN(200,(ROUNDDOWN(計算!$AG$8/2,0)*AA$10+ROUNDDOWN(計算!$AG$8/4,0)*AA$11))))/2,0))/2,0)/16,0))))</f>
        <v>118</v>
      </c>
      <c r="AB16" s="258"/>
      <c r="AC16" s="259">
        <f ca="1">IF(OR($H16="",AA$15=""),"",MAX(1,ROUNDDOWN((計算!$I4-ROUNDDOWN((計算!$AG$8+MAX(-(計算!$AG$8),MIN(200,(ROUNDDOWN(計算!$AG$8/2,0)*AA$10+ROUNDDOWN(計算!$AG$8/4,0)*AA$11))))/2,0))/2,0)+(1+ROUNDDOWN(ROUNDDOWN((計算!$I4-ROUNDDOWN((計算!$AG$8+MAX(-(計算!$AG$8),MIN(200,(ROUNDDOWN(計算!$AG$8/2,0)*AA$10+ROUNDDOWN(計算!$AG$8/4,0)*AA$11))))/2,0))/2,0)/16,0))))</f>
        <v>134</v>
      </c>
      <c r="AD16" s="260"/>
      <c r="AE16" s="257">
        <f ca="1">IF(OR($H16="",AE$15=""),"",MAX(0,ROUNDDOWN((計算!$I4-ROUNDDOWN((計算!$AG$9+MAX(-(計算!$AG$9),MIN(200,(ROUNDDOWN(計算!$AG$9/2,0)*AE$10+ROUNDDOWN(計算!$AG$9/4,0)*AE$11))))/2,0))/2,0)-(1+ROUNDDOWN(ROUNDDOWN((計算!$I4-ROUNDDOWN((計算!$AG$9+MAX(-(計算!$AG$9),MIN(200,(ROUNDDOWN(計算!$AG$9/2,0)*AE$10+ROUNDDOWN(計算!$AG$9/4,0)*AE$11))))/2,0))/2,0)/16,0))))</f>
        <v>109</v>
      </c>
      <c r="AF16" s="258"/>
      <c r="AG16" s="259">
        <f ca="1">IF(OR($H16="",AE$15=""),"",MAX(1,ROUNDDOWN((計算!$I4-ROUNDDOWN((計算!$AG$9+MAX(-(計算!$AG$9),MIN(200,(ROUNDDOWN(計算!$AG$9/2,0)*AE$10+ROUNDDOWN(計算!$AG$9/4,0)*AE$11))))/2,0))/2,0)+(1+ROUNDDOWN(ROUNDDOWN((計算!$I4-ROUNDDOWN((計算!$AG$9+MAX(-(計算!$AG$9),MIN(200,(ROUNDDOWN(計算!$AG$9/2,0)*AE$10+ROUNDDOWN(計算!$AG$9/4,0)*AE$11))))/2,0))/2,0)/16,0))))</f>
        <v>125</v>
      </c>
      <c r="AH16" s="260"/>
      <c r="AI16" s="257">
        <f ca="1">IF(OR($H16="",AI$15=""),"",MAX(0,ROUNDDOWN((計算!$I4-ROUNDDOWN((計算!$AG$10+MAX(-(計算!$AG$10),MIN(200,(ROUNDDOWN(計算!$AG$10/2,0)*AI$10+ROUNDDOWN(計算!$AG$10/4,0)*AI$11))))/2,0))/2,0)-(1+ROUNDDOWN(ROUNDDOWN((計算!$I4-ROUNDDOWN((計算!$AG$10+MAX(-(計算!$AG$10),MIN(200,(ROUNDDOWN(計算!$AG$10/2,0)*AI$10+ROUNDDOWN(計算!$AG$10/4,0)*AI$11))))/2,0))/2,0)/16,0))))</f>
        <v>89</v>
      </c>
      <c r="AJ16" s="258"/>
      <c r="AK16" s="259">
        <f ca="1">IF(OR($H16="",AI$15=""),"",MAX(1,ROUNDDOWN((計算!$I4-ROUNDDOWN((計算!$AG$10+MAX(-(計算!$AG$10),MIN(200,(ROUNDDOWN(計算!$AG$10/2,0)*AI$10+ROUNDDOWN(計算!$AG$10/4,0)*AI$11))))/2,0))/2,0)+(1+ROUNDDOWN(ROUNDDOWN((計算!$I4-ROUNDDOWN((計算!$AG$10+MAX(-(計算!$AG$10),MIN(200,(ROUNDDOWN(計算!$AG$10/2,0)*AI$10+ROUNDDOWN(計算!$AG$10/4,0)*AI$11))))/2,0))/2,0)/16,0))))</f>
        <v>101</v>
      </c>
      <c r="AL16" s="260"/>
      <c r="AM16" s="257">
        <f ca="1">IF(OR($H16="",AM$15=""),"",MAX(0,ROUNDDOWN((計算!$I4-ROUNDDOWN((計算!$AG$11+MAX(-(計算!$AG$11),MIN(200,(ROUNDDOWN(計算!$AG$11/2,0)*AM$10+ROUNDDOWN(計算!$AG$11/4,0)*AM$11))))/2,0))/2,0)-(1+ROUNDDOWN(ROUNDDOWN((計算!$I4-ROUNDDOWN((計算!$AG$11+MAX(-(計算!$AG$11),MIN(200,(ROUNDDOWN(計算!$AG$11/2,0)*AM$10+ROUNDDOWN(計算!$AG$11/4,0)*AM$11))))/2,0))/2,0)/16,0))))</f>
        <v>59</v>
      </c>
      <c r="AN16" s="258"/>
      <c r="AO16" s="259">
        <f ca="1">IF(OR($H16="",AM$15=""),"",MAX(1,ROUNDDOWN((計算!$I4-ROUNDDOWN((計算!$AG$11+MAX(-(計算!$AG$11),MIN(200,(ROUNDDOWN(計算!$AG$11/2,0)*AM$10+ROUNDDOWN(計算!$AG$11/4,0)*AM$11))))/2,0))/2,0)+(1+ROUNDDOWN(ROUNDDOWN((計算!$I4-ROUNDDOWN((計算!$AG$11+MAX(-(計算!$AG$11),MIN(200,(ROUNDDOWN(計算!$AG$11/2,0)*AM$10+ROUNDDOWN(計算!$AG$11/4,0)*AM$11))))/2,0))/2,0)/16,0))))</f>
        <v>69</v>
      </c>
      <c r="AP16" s="260"/>
      <c r="AQ16" s="115" t="str">
        <f>IF(計算!F36="","",VLOOKUP(計算!F36,敵技,6,0))</f>
        <v>なし</v>
      </c>
      <c r="AR16" s="115" t="str">
        <f>IF(計算!F36="","",VLOOKUP(計算!F36,敵技,7,0))</f>
        <v>全体</v>
      </c>
      <c r="AT16" s="99" t="str">
        <f ca="1">AT5</f>
        <v>主人公</v>
      </c>
      <c r="AU16" s="108" t="str">
        <f>IF(計算!F20="","",VLOOKUP(計算!F20,味方技,4,0))</f>
        <v>メ</v>
      </c>
      <c r="AV16" s="108" t="str">
        <f>IF(計算!F20="","",VLOOKUP(計算!F20,味方技,5,0))</f>
        <v>中</v>
      </c>
      <c r="AW16" s="257">
        <f ca="1">IF(OR($AT16="",AW$15=""),"",MAX(0,ROUNDDOWN((計算!$AF4-ROUNDDOWN((計算!$J$4+MAX(-(計算!$J$4),MIN(200,(ROUNDDOWN(計算!$J$4/2,0)*AW$10+ROUNDDOWN(計算!$J$4/4,0)*AW$11))))/2,0))/2,0)-(1+ROUNDDOWN(ROUNDDOWN((計算!$AF4-ROUNDDOWN((計算!$J$4+MAX(-(計算!$J$4),MIN(200,(ROUNDDOWN(計算!$J$4/2,0)*AW$10+ROUNDDOWN(計算!$J$4/4,0)*AW$11))))/2,0))/2,0)/16,0))))</f>
        <v>14</v>
      </c>
      <c r="AX16" s="258"/>
      <c r="AY16" s="278">
        <f ca="1">IF(OR($AT16="",AW$15=""),"",MAX(1,ROUNDDOWN((計算!$AF4-ROUNDDOWN((計算!$J$4+MAX(-(計算!$J$4),MIN(200,(ROUNDDOWN(計算!$J$4/2,0)*AY$10+ROUNDDOWN(計算!$J$4/4,0)*AY$11))))/2,0))/2,0)+(1+ROUNDDOWN(ROUNDDOWN((計算!$AF4-ROUNDDOWN((計算!$J$4+MAX(-(計算!$J$4),MIN(200,(ROUNDDOWN(計算!$J$4/2,0)*AY$10+ROUNDDOWN(計算!$J$4/4,0)*AY$11))))/2,0))/2,0)/16,0))))</f>
        <v>18</v>
      </c>
      <c r="AZ16" s="258"/>
      <c r="BA16" s="257">
        <f ca="1">IF(OR($AT16="",BA$15=""),"",MAX(0,ROUNDDOWN((計算!$AF4-ROUNDDOWN((計算!$J$5+MAX(-(計算!$J$5),MIN(200,(ROUNDDOWN(計算!$J$5/2,0)*BA$10+ROUNDDOWN(計算!$J$5/4,0)*BA$11))))/2,0))/2,0)-(1+ROUNDDOWN(ROUNDDOWN((計算!$AF4-ROUNDDOWN((計算!$J$5+MAX(-(計算!$J$5),MIN(200,(ROUNDDOWN(計算!$J$5/2,0)*BA$10+ROUNDDOWN(計算!$J$5/4,0)*BA$11))))/2,0))/2,0)/16,0))))</f>
        <v>14</v>
      </c>
      <c r="BB16" s="258"/>
      <c r="BC16" s="278">
        <f ca="1">IF(OR($AT16="",BA$15=""),"",MAX(1,ROUNDDOWN((計算!$AF4-ROUNDDOWN((計算!$J$5+MAX(-(計算!$J$5),MIN(200,(ROUNDDOWN(計算!$J$5/2,0)*BC$10+ROUNDDOWN(計算!$J$5/4,0)*BC$11))))/2,0))/2,0)+(1+ROUNDDOWN(ROUNDDOWN((計算!$AF4-ROUNDDOWN((計算!$J$5+MAX(-(計算!$J$5),MIN(200,(ROUNDDOWN(計算!$J$5/2,0)*BC$10+ROUNDDOWN(計算!$J$5/4,0)*BC$11))))/2,0))/2,0)/16,0))))</f>
        <v>18</v>
      </c>
      <c r="BD16" s="258"/>
      <c r="BE16" s="257">
        <f ca="1">IF(OR($AT16="",BE$15=""),"",MAX(0,ROUNDDOWN((計算!$AF4-ROUNDDOWN((計算!$J$6+MAX(-(計算!$J$6),MIN(200,(ROUNDDOWN(計算!$J$6/2,0)*BE$10+ROUNDDOWN(計算!$J$6/4,0)*BE$11))))/2,0))/2,0)-(1+ROUNDDOWN(ROUNDDOWN((計算!$AF4-ROUNDDOWN((計算!$J$6+MAX(-(計算!$J$6),MIN(200,(ROUNDDOWN(計算!$J$6/2,0)*BE$10+ROUNDDOWN(計算!$J$6/4,0)*BE$11))))/2,0))/2,0)/16,0))))</f>
        <v>14</v>
      </c>
      <c r="BF16" s="258"/>
      <c r="BG16" s="278">
        <f ca="1">IF(OR($AT16="",BE$15=""),"",MAX(1,ROUNDDOWN((計算!$AF4-ROUNDDOWN((計算!$J$6+MAX(-(計算!$J$6),MIN(200,(ROUNDDOWN(計算!$J$6/2,0)*BG$10+ROUNDDOWN(計算!$J$6/4,0)*BG$11))))/2,0))/2,0)+(1+ROUNDDOWN(ROUNDDOWN((計算!$AF4-ROUNDDOWN((計算!$J$6+MAX(-(計算!$J$6),MIN(200,(ROUNDDOWN(計算!$J$6/2,0)*BG$10+ROUNDDOWN(計算!$J$6/4,0)*BG$11))))/2,0))/2,0)/16,0))))</f>
        <v>18</v>
      </c>
      <c r="BH16" s="258"/>
      <c r="BI16" s="257">
        <f ca="1">IF(OR($AT16="",BI$15=""),"",MAX(0,ROUNDDOWN((計算!$AF4-ROUNDDOWN((計算!$J$7+MAX(-(計算!$J$7),MIN(200,(ROUNDDOWN(計算!$J$7/2,0)*BI$10+ROUNDDOWN(計算!$J$7/4,0)*BI$11))))/2,0))/2,0)-(1+ROUNDDOWN(ROUNDDOWN((計算!$AF4-ROUNDDOWN((計算!$J$7+MAX(-(計算!$J$7),MIN(200,(ROUNDDOWN(計算!$J$7/2,0)*BI$10+ROUNDDOWN(計算!$J$7/4,0)*BI$11))))/2,0))/2,0)/16,0))))</f>
        <v>14</v>
      </c>
      <c r="BJ16" s="258"/>
      <c r="BK16" s="278">
        <f ca="1">IF(OR($AT16="",BI$15=""),"",MAX(1,ROUNDDOWN((計算!$AF4-ROUNDDOWN((計算!$J$7+MAX(-(計算!$J$7),MIN(200,(ROUNDDOWN(計算!$J$7/2,0)*BK$10+ROUNDDOWN(計算!$J$7/4,0)*BK$11))))/2,0))/2,0)+(1+ROUNDDOWN(ROUNDDOWN((計算!$AF4-ROUNDDOWN((計算!$J$7+MAX(-(計算!$J$7),MIN(200,(ROUNDDOWN(計算!$J$7/2,0)*BK$10+ROUNDDOWN(計算!$J$7/4,0)*BK$11))))/2,0))/2,0)/16,0))))</f>
        <v>18</v>
      </c>
      <c r="BL16" s="258"/>
      <c r="BM16" s="257">
        <f ca="1">IF(OR($AT16="",BM$15=""),"",MAX(0,ROUNDDOWN((計算!$AF4-ROUNDDOWN((計算!$J$8+MAX(-(計算!$J$8),MIN(200,(ROUNDDOWN(計算!$J$8/2,0)*BM$10+ROUNDDOWN(計算!$J$8/4,0)*BM$11))))/2,0))/2,0)-(1+ROUNDDOWN(ROUNDDOWN((計算!$AF4-ROUNDDOWN((計算!$J$8+MAX(-(計算!$J$8),MIN(200,(ROUNDDOWN(計算!$J$8/2,0)*BM$10+ROUNDDOWN(計算!$J$8/4,0)*BM$11))))/2,0))/2,0)/16,0))))</f>
        <v>14</v>
      </c>
      <c r="BN16" s="258"/>
      <c r="BO16" s="278">
        <f ca="1">IF(OR($AT16="",BM$15=""),"",MAX(1,ROUNDDOWN((計算!$AF4-ROUNDDOWN((計算!$J$8+MAX(-(計算!$J$8),MIN(200,(ROUNDDOWN(計算!$J$8/2,0)*BO$10+ROUNDDOWN(計算!$J$8/4,0)*BO$11))))/2,0))/2,0)+(1+ROUNDDOWN(ROUNDDOWN((計算!$AF4-ROUNDDOWN((計算!$J$8+MAX(-(計算!$J$8),MIN(200,(ROUNDDOWN(計算!$J$8/2,0)*BO$10+ROUNDDOWN(計算!$J$8/4,0)*BO$11))))/2,0))/2,0)/16,0))))</f>
        <v>18</v>
      </c>
      <c r="BP16" s="258"/>
      <c r="BQ16" s="257">
        <f ca="1">IF(OR($AT16="",BQ$15=""),"",MAX(0,ROUNDDOWN((計算!$AF4-ROUNDDOWN((計算!$J$9+MAX(-(計算!$J$9),MIN(200,(ROUNDDOWN(計算!$J$9/2,0)*BQ$10+ROUNDDOWN(計算!$J$9/4,0)*BQ$11))))/2,0))/2,0)-(1+ROUNDDOWN(ROUNDDOWN((計算!$AF4-ROUNDDOWN((計算!$J$9+MAX(-(計算!$J$9),MIN(200,(ROUNDDOWN(計算!$J$9/2,0)*BQ$10+ROUNDDOWN(計算!$J$9/4,0)*BQ$11))))/2,0))/2,0)/16,0))))</f>
        <v>52</v>
      </c>
      <c r="BR16" s="258"/>
      <c r="BS16" s="278">
        <f ca="1">IF(OR($AT16="",BQ$15=""),"",MAX(1,ROUNDDOWN((計算!$AF4-ROUNDDOWN((計算!$J$9+MAX(-(計算!$J$9),MIN(200,(ROUNDDOWN(計算!$J$9/2,0)*BS$10+ROUNDDOWN(計算!$J$9/4,0)*BS$11))))/2,0))/2,0)+(1+ROUNDDOWN(ROUNDDOWN((計算!$AF4-ROUNDDOWN((計算!$J$9+MAX(-(計算!$J$9),MIN(200,(ROUNDDOWN(計算!$J$9/2,0)*BS$10+ROUNDDOWN(計算!$J$9/4,0)*BS$11))))/2,0))/2,0)/16,0))))</f>
        <v>60</v>
      </c>
      <c r="BT16" s="258"/>
      <c r="BU16" s="257">
        <f ca="1">IF(OR($AT16="",BU$15=""),"",MAX(0,ROUNDDOWN((計算!$AF4-ROUNDDOWN((計算!$J$10+MAX(-(計算!$J$10),MIN(200,(ROUNDDOWN(計算!$J$10/2,0)*BU$10+ROUNDDOWN(計算!$J$10/4,0)*BU$11))))/2,0))/2,0)-(1+ROUNDDOWN(ROUNDDOWN((計算!$AF4-ROUNDDOWN((計算!$J$10+MAX(-(計算!$J$10),MIN(200,(ROUNDDOWN(計算!$J$10/2,0)*BU$10+ROUNDDOWN(計算!$J$10/4,0)*BU$11))))/2,0))/2,0)/16,0))))</f>
        <v>52</v>
      </c>
      <c r="BV16" s="258"/>
      <c r="BW16" s="278">
        <f ca="1">IF(OR($AT16="",BU$15=""),"",MAX(1,ROUNDDOWN((計算!$AF4-ROUNDDOWN((計算!$J$10+MAX(-(計算!$J$10),MIN(200,(ROUNDDOWN(計算!$J$10/2,0)*BW$10+ROUNDDOWN(計算!$J$10/4,0)*BW$11))))/2,0))/2,0)+(1+ROUNDDOWN(ROUNDDOWN((計算!$AF4-ROUNDDOWN((計算!$J$10+MAX(-(計算!$J$10),MIN(200,(ROUNDDOWN(計算!$J$10/2,0)*BW$10+ROUNDDOWN(計算!$J$10/4,0)*BW$11))))/2,0))/2,0)/16,0))))</f>
        <v>60</v>
      </c>
      <c r="BX16" s="258"/>
      <c r="BY16" s="257">
        <f ca="1">IF(OR($AT16="",BY$15=""),"",MAX(0,ROUNDDOWN((計算!$AF4-ROUNDDOWN((計算!$J$11+MAX(-(計算!$J$11),MIN(200,(ROUNDDOWN(計算!$J$11/2,0)*BY$10+ROUNDDOWN(計算!$J$11/4,0)*BY$11))))/2,0))/2,0)-(1+ROUNDDOWN(ROUNDDOWN((計算!$AF4-ROUNDDOWN((計算!$J$11+MAX(-(計算!$J$11),MIN(200,(ROUNDDOWN(計算!$J$11/2,0)*BY$10+ROUNDDOWN(計算!$J$11/4,0)*BY$11))))/2,0))/2,0)/16,0))))</f>
        <v>52</v>
      </c>
      <c r="BZ16" s="258"/>
      <c r="CA16" s="278">
        <f ca="1">IF(OR($AT16="",BY$15=""),"",MAX(1,ROUNDDOWN((計算!$AF4-ROUNDDOWN((計算!$J$11+MAX(-(計算!$J$11),MIN(200,(ROUNDDOWN(計算!$J$11/2,0)*CA$10+ROUNDDOWN(計算!$J$11/4,0)*CA$11))))/2,0))/2,0)+(1+ROUNDDOWN(ROUNDDOWN((計算!$AF4-ROUNDDOWN((計算!$J$11+MAX(-(計算!$J$11),MIN(200,(ROUNDDOWN(計算!$J$11/2,0)*CA$10+ROUNDDOWN(計算!$J$11/4,0)*CA$11))))/2,0))/2,0)/16,0))))</f>
        <v>60</v>
      </c>
      <c r="CB16" s="258"/>
      <c r="CC16" s="115" t="str">
        <f>IF(計算!F20="","",VLOOKUP(計算!F20,味方技,6,0))</f>
        <v>なし</v>
      </c>
      <c r="CD16" s="115" t="str">
        <f>IF(計算!F20="","",VLOOKUP(計算!F20,味方技,7,0))</f>
        <v>単体</v>
      </c>
    </row>
    <row r="17" spans="2:82" ht="13.5" customHeight="1" x14ac:dyDescent="0.15">
      <c r="B17" s="9" t="str">
        <f t="shared" ca="1" si="0"/>
        <v>モンストラー</v>
      </c>
      <c r="C17" s="9">
        <f t="shared" ca="1" si="1"/>
        <v>12</v>
      </c>
      <c r="D17" s="9">
        <v>91</v>
      </c>
      <c r="F17" s="10">
        <v>8</v>
      </c>
      <c r="H17" s="98" t="str">
        <f t="shared" ref="H17:H23" ca="1" si="16">$H6</f>
        <v>デスタムーア3</v>
      </c>
      <c r="I17" s="108" t="str">
        <f>IF(計算!F37="","",VLOOKUP(計算!F37,敵技,4,0))</f>
        <v>メ</v>
      </c>
      <c r="J17" s="106" t="str">
        <f>IF(計算!F37="","",VLOOKUP(計算!F37,敵技,5,0))</f>
        <v>中</v>
      </c>
      <c r="K17" s="257">
        <f ca="1">IF(OR($H17="",K$15=""),"",MAX(0,ROUNDDOWN((計算!$I5-ROUNDDOWN((計算!$AG$4+MAX(-(計算!$AG$4),MIN(200,(ROUNDDOWN(計算!$AG$4/2,0)*K$10+ROUNDDOWN(計算!$AG$4/4,0)*K$11))))/2,0))/2,0)-(1+ROUNDDOWN(ROUNDDOWN((計算!$I5-ROUNDDOWN((計算!$AG$4+MAX(-(計算!$AG$4),MIN(200,(ROUNDDOWN(計算!$AG$4/2,0)*K$10+ROUNDDOWN(計算!$AG$4/4,0)*K$11))))/2,0))/2,0)/16,0))))</f>
        <v>89</v>
      </c>
      <c r="L17" s="258"/>
      <c r="M17" s="259">
        <f ca="1">IF(OR($H17="",K$15=""),"",MAX(1,ROUNDDOWN((計算!$I5-ROUNDDOWN((計算!$AG$4+MAX(-(計算!$AG$4),MIN(200,(ROUNDDOWN(計算!$AG$4/2,0)*K$10+ROUNDDOWN(計算!$AG$4/4,0)*K$11))))/2,0))/2,0)+(1+ROUNDDOWN(ROUNDDOWN((計算!$I5-ROUNDDOWN((計算!$AG$4+MAX(-(計算!$AG$4),MIN(200,(ROUNDDOWN(計算!$AG$4/2,0)*K$10+ROUNDDOWN(計算!$AG$4/4,0)*K$11))))/2,0))/2,0)/16,0))))</f>
        <v>103</v>
      </c>
      <c r="N17" s="260"/>
      <c r="O17" s="257">
        <f ca="1">IF(OR($H17="",O$15=""),"",MAX(0,ROUNDDOWN((計算!$I5-ROUNDDOWN((計算!$AG$5+MAX(-(計算!$AG$5),MIN(200,(ROUNDDOWN(計算!$AG$5/2,0)*O$10+ROUNDDOWN(計算!$AG$5/4,0)*O$11))))/2,0))/2,0)-(1+ROUNDDOWN(ROUNDDOWN((計算!$I5-ROUNDDOWN((計算!$AG$5+MAX(-(計算!$AG$5),MIN(200,(ROUNDDOWN(計算!$AG$5/2,0)*O$10+ROUNDDOWN(計算!$AG$5/4,0)*O$11))))/2,0))/2,0)/16,0))))</f>
        <v>75</v>
      </c>
      <c r="P17" s="258"/>
      <c r="Q17" s="259">
        <f ca="1">IF(OR($H17="",O$15=""),"",MAX(1,ROUNDDOWN((計算!$I5-ROUNDDOWN((計算!$AG$5+MAX(-(計算!$AG$5),MIN(200,(ROUNDDOWN(計算!$AG$5/2,0)*O$10+ROUNDDOWN(計算!$AG$5/4,0)*O$11))))/2,0))/2,0)+(1+ROUNDDOWN(ROUNDDOWN((計算!$I5-ROUNDDOWN((計算!$AG$5+MAX(-(計算!$AG$5),MIN(200,(ROUNDDOWN(計算!$AG$5/2,0)*O$10+ROUNDDOWN(計算!$AG$5/4,0)*O$11))))/2,0))/2,0)/16,0))))</f>
        <v>87</v>
      </c>
      <c r="R17" s="260"/>
      <c r="S17" s="257">
        <f ca="1">IF(OR($H17="",S$15=""),"",MAX(0,ROUNDDOWN((計算!$I5-ROUNDDOWN((計算!$AG$6+MAX(-(計算!$AG$6),MIN(200,(ROUNDDOWN(計算!$AG$6/2,0)*S$10+ROUNDDOWN(計算!$AG$6/4,0)*S$11))))/2,0))/2,0)-(1+ROUNDDOWN(ROUNDDOWN((計算!$I5-ROUNDDOWN((計算!$AG$6+MAX(-(計算!$AG$6),MIN(200,(ROUNDDOWN(計算!$AG$6/2,0)*S$10+ROUNDDOWN(計算!$AG$6/4,0)*S$11))))/2,0))/2,0)/16,0))))</f>
        <v>115</v>
      </c>
      <c r="T17" s="258"/>
      <c r="U17" s="259">
        <f ca="1">IF(OR($H17="",S$15=""),"",MAX(1,ROUNDDOWN((計算!$I5-ROUNDDOWN((計算!$AG$6+MAX(-(計算!$AG$6),MIN(200,(ROUNDDOWN(計算!$AG$6/2,0)*S$10+ROUNDDOWN(計算!$AG$6/4,0)*S$11))))/2,0))/2,0)+(1+ROUNDDOWN(ROUNDDOWN((計算!$I5-ROUNDDOWN((計算!$AG$6+MAX(-(計算!$AG$6),MIN(200,(ROUNDDOWN(計算!$AG$6/2,0)*S$10+ROUNDDOWN(計算!$AG$6/4,0)*S$11))))/2,0))/2,0)/16,0))))</f>
        <v>131</v>
      </c>
      <c r="V17" s="260"/>
      <c r="W17" s="257">
        <f ca="1">IF(OR($H17="",W$15=""),"",MAX(0,ROUNDDOWN((計算!$I5-ROUNDDOWN((計算!$AG$7+MAX(-(計算!$AG$7),MIN(200,(ROUNDDOWN(計算!$AG$7/2,0)*W$10+ROUNDDOWN(計算!$AG$7/4,0)*W$11))))/2,0))/2,0)-(1+ROUNDDOWN(ROUNDDOWN((計算!$I5-ROUNDDOWN((計算!$AG$7+MAX(-(計算!$AG$7),MIN(200,(ROUNDDOWN(計算!$AG$7/2,0)*W$10+ROUNDDOWN(計算!$AG$7/4,0)*W$11))))/2,0))/2,0)/16,0))))</f>
        <v>128</v>
      </c>
      <c r="X17" s="258"/>
      <c r="Y17" s="259">
        <f ca="1">IF(OR($H17="",W$15=""),"",MAX(1,ROUNDDOWN((計算!$I5-ROUNDDOWN((計算!$AG$7+MAX(-(計算!$AG$7),MIN(200,(ROUNDDOWN(計算!$AG$7/2,0)*W$10+ROUNDDOWN(計算!$AG$7/4,0)*W$11))))/2,0))/2,0)+(1+ROUNDDOWN(ROUNDDOWN((計算!$I5-ROUNDDOWN((計算!$AG$7+MAX(-(計算!$AG$7),MIN(200,(ROUNDDOWN(計算!$AG$7/2,0)*W$10+ROUNDDOWN(計算!$AG$7/4,0)*W$11))))/2,0))/2,0)/16,0))))</f>
        <v>146</v>
      </c>
      <c r="Z17" s="260"/>
      <c r="AA17" s="257">
        <f ca="1">IF(OR($H17="",AA$15=""),"",MAX(0,ROUNDDOWN((計算!$I5-ROUNDDOWN((計算!$AG$8+MAX(-(計算!$AG$8),MIN(200,(ROUNDDOWN(計算!$AG$8/2,0)*AA$10+ROUNDDOWN(計算!$AG$8/4,0)*AA$11))))/2,0))/2,0)-(1+ROUNDDOWN(ROUNDDOWN((計算!$I5-ROUNDDOWN((計算!$AG$8+MAX(-(計算!$AG$8),MIN(200,(ROUNDDOWN(計算!$AG$8/2,0)*AA$10+ROUNDDOWN(計算!$AG$8/4,0)*AA$11))))/2,0))/2,0)/16,0))))</f>
        <v>118</v>
      </c>
      <c r="AB17" s="258"/>
      <c r="AC17" s="259">
        <f ca="1">IF(OR($H17="",AA$15=""),"",MAX(1,ROUNDDOWN((計算!$I5-ROUNDDOWN((計算!$AG$8+MAX(-(計算!$AG$8),MIN(200,(ROUNDDOWN(計算!$AG$8/2,0)*AA$10+ROUNDDOWN(計算!$AG$8/4,0)*AA$11))))/2,0))/2,0)+(1+ROUNDDOWN(ROUNDDOWN((計算!$I5-ROUNDDOWN((計算!$AG$8+MAX(-(計算!$AG$8),MIN(200,(ROUNDDOWN(計算!$AG$8/2,0)*AA$10+ROUNDDOWN(計算!$AG$8/4,0)*AA$11))))/2,0))/2,0)/16,0))))</f>
        <v>134</v>
      </c>
      <c r="AD17" s="260"/>
      <c r="AE17" s="257">
        <f ca="1">IF(OR($H17="",AE$15=""),"",MAX(0,ROUNDDOWN((計算!$I5-ROUNDDOWN((計算!$AG$9+MAX(-(計算!$AG$9),MIN(200,(ROUNDDOWN(計算!$AG$9/2,0)*AE$10+ROUNDDOWN(計算!$AG$9/4,0)*AE$11))))/2,0))/2,0)-(1+ROUNDDOWN(ROUNDDOWN((計算!$I5-ROUNDDOWN((計算!$AG$9+MAX(-(計算!$AG$9),MIN(200,(ROUNDDOWN(計算!$AG$9/2,0)*AE$10+ROUNDDOWN(計算!$AG$9/4,0)*AE$11))))/2,0))/2,0)/16,0))))</f>
        <v>109</v>
      </c>
      <c r="AF17" s="258"/>
      <c r="AG17" s="259">
        <f ca="1">IF(OR($H17="",AE$15=""),"",MAX(1,ROUNDDOWN((計算!$I5-ROUNDDOWN((計算!$AG$9+MAX(-(計算!$AG$9),MIN(200,(ROUNDDOWN(計算!$AG$9/2,0)*AE$10+ROUNDDOWN(計算!$AG$9/4,0)*AE$11))))/2,0))/2,0)+(1+ROUNDDOWN(ROUNDDOWN((計算!$I5-ROUNDDOWN((計算!$AG$9+MAX(-(計算!$AG$9),MIN(200,(ROUNDDOWN(計算!$AG$9/2,0)*AE$10+ROUNDDOWN(計算!$AG$9/4,0)*AE$11))))/2,0))/2,0)/16,0))))</f>
        <v>125</v>
      </c>
      <c r="AH17" s="260"/>
      <c r="AI17" s="257">
        <f ca="1">IF(OR($H17="",AI$15=""),"",MAX(0,ROUNDDOWN((計算!$I5-ROUNDDOWN((計算!$AG$10+MAX(-(計算!$AG$10),MIN(200,(ROUNDDOWN(計算!$AG$10/2,0)*AI$10+ROUNDDOWN(計算!$AG$10/4,0)*AI$11))))/2,0))/2,0)-(1+ROUNDDOWN(ROUNDDOWN((計算!$I5-ROUNDDOWN((計算!$AG$10+MAX(-(計算!$AG$10),MIN(200,(ROUNDDOWN(計算!$AG$10/2,0)*AI$10+ROUNDDOWN(計算!$AG$10/4,0)*AI$11))))/2,0))/2,0)/16,0))))</f>
        <v>89</v>
      </c>
      <c r="AJ17" s="258"/>
      <c r="AK17" s="259">
        <f ca="1">IF(OR($H17="",AI$15=""),"",MAX(1,ROUNDDOWN((計算!$I5-ROUNDDOWN((計算!$AG$10+MAX(-(計算!$AG$10),MIN(200,(ROUNDDOWN(計算!$AG$10/2,0)*AI$10+ROUNDDOWN(計算!$AG$10/4,0)*AI$11))))/2,0))/2,0)+(1+ROUNDDOWN(ROUNDDOWN((計算!$I5-ROUNDDOWN((計算!$AG$10+MAX(-(計算!$AG$10),MIN(200,(ROUNDDOWN(計算!$AG$10/2,0)*AI$10+ROUNDDOWN(計算!$AG$10/4,0)*AI$11))))/2,0))/2,0)/16,0))))</f>
        <v>101</v>
      </c>
      <c r="AL17" s="260"/>
      <c r="AM17" s="257">
        <f ca="1">IF(OR($H17="",AM$15=""),"",MAX(0,ROUNDDOWN((計算!$I5-ROUNDDOWN((計算!$AG$11+MAX(-(計算!$AG$11),MIN(200,(ROUNDDOWN(計算!$AG$11/2,0)*AM$10+ROUNDDOWN(計算!$AG$11/4,0)*AM$11))))/2,0))/2,0)-(1+ROUNDDOWN(ROUNDDOWN((計算!$I5-ROUNDDOWN((計算!$AG$11+MAX(-(計算!$AG$11),MIN(200,(ROUNDDOWN(計算!$AG$11/2,0)*AM$10+ROUNDDOWN(計算!$AG$11/4,0)*AM$11))))/2,0))/2,0)/16,0))))</f>
        <v>59</v>
      </c>
      <c r="AN17" s="258"/>
      <c r="AO17" s="259">
        <f ca="1">IF(OR($H17="",AM$15=""),"",MAX(1,ROUNDDOWN((計算!$I5-ROUNDDOWN((計算!$AG$11+MAX(-(計算!$AG$11),MIN(200,(ROUNDDOWN(計算!$AG$11/2,0)*AM$10+ROUNDDOWN(計算!$AG$11/4,0)*AM$11))))/2,0))/2,0)+(1+ROUNDDOWN(ROUNDDOWN((計算!$I5-ROUNDDOWN((計算!$AG$11+MAX(-(計算!$AG$11),MIN(200,(ROUNDDOWN(計算!$AG$11/2,0)*AM$10+ROUNDDOWN(計算!$AG$11/4,0)*AM$11))))/2,0))/2,0)/16,0))))</f>
        <v>69</v>
      </c>
      <c r="AP17" s="260"/>
      <c r="AQ17" s="115" t="str">
        <f>IF(計算!F37="","",VLOOKUP(計算!F37,敵技,6,0))</f>
        <v>なし</v>
      </c>
      <c r="AR17" s="115" t="str">
        <f>IF(計算!F37="","",VLOOKUP(計算!F37,敵技,7,0))</f>
        <v>単体</v>
      </c>
      <c r="AT17" s="99" t="str">
        <f t="shared" ref="AT17:AT23" ca="1" si="17">AT6</f>
        <v>ハッサン</v>
      </c>
      <c r="AU17" s="108" t="str">
        <f>IF(計算!F21="","",VLOOKUP(計算!F21,味方技,4,0))</f>
        <v>なし</v>
      </c>
      <c r="AV17" s="108" t="str">
        <f>IF(計算!F21="","",VLOOKUP(計算!F21,味方技,5,0))</f>
        <v>物理</v>
      </c>
      <c r="AW17" s="257">
        <f ca="1">IF(OR($AT17="",AW$15=""),"",MAX(0,ROUNDDOWN((計算!$AF5-ROUNDDOWN((計算!$J$4+MAX(-(計算!$J$4),MIN(200,(ROUNDDOWN(計算!$J$4/2,0)*AW$10+ROUNDDOWN(計算!$J$4/4,0)*AW$11))))/2,0))/2,0)-(1+ROUNDDOWN(ROUNDDOWN((計算!$AF5-ROUNDDOWN((計算!$J$4+MAX(-(計算!$J$4),MIN(200,(ROUNDDOWN(計算!$J$4/2,0)*AW$10+ROUNDDOWN(計算!$J$4/4,0)*AW$11))))/2,0))/2,0)/16,0))))</f>
        <v>56</v>
      </c>
      <c r="AX17" s="258"/>
      <c r="AY17" s="278">
        <f ca="1">IF(OR($AT17="",AW$15=""),"",MAX(1,ROUNDDOWN((計算!$AF5-ROUNDDOWN((計算!$J$4+MAX(-(計算!$J$4),MIN(200,(ROUNDDOWN(計算!$J$4/2,0)*AY$10+ROUNDDOWN(計算!$J$4/4,0)*AY$11))))/2,0))/2,0)+(1+ROUNDDOWN(ROUNDDOWN((計算!$AF5-ROUNDDOWN((計算!$J$4+MAX(-(計算!$J$4),MIN(200,(ROUNDDOWN(計算!$J$4/2,0)*AY$10+ROUNDDOWN(計算!$J$4/4,0)*AY$11))))/2,0))/2,0)/16,0))))</f>
        <v>64</v>
      </c>
      <c r="AZ17" s="258"/>
      <c r="BA17" s="257">
        <f ca="1">IF(OR($AT17="",BA$15=""),"",MAX(0,ROUNDDOWN((計算!$AF5-ROUNDDOWN((計算!$J$5+MAX(-(計算!$J$5),MIN(200,(ROUNDDOWN(計算!$J$5/2,0)*BA$10+ROUNDDOWN(計算!$J$5/4,0)*BA$11))))/2,0))/2,0)-(1+ROUNDDOWN(ROUNDDOWN((計算!$AF5-ROUNDDOWN((計算!$J$5+MAX(-(計算!$J$5),MIN(200,(ROUNDDOWN(計算!$J$5/2,0)*BA$10+ROUNDDOWN(計算!$J$5/4,0)*BA$11))))/2,0))/2,0)/16,0))))</f>
        <v>56</v>
      </c>
      <c r="BB17" s="258"/>
      <c r="BC17" s="278">
        <f ca="1">IF(OR($AT17="",BA$15=""),"",MAX(1,ROUNDDOWN((計算!$AF5-ROUNDDOWN((計算!$J$5+MAX(-(計算!$J$5),MIN(200,(ROUNDDOWN(計算!$J$5/2,0)*BC$10+ROUNDDOWN(計算!$J$5/4,0)*BC$11))))/2,0))/2,0)+(1+ROUNDDOWN(ROUNDDOWN((計算!$AF5-ROUNDDOWN((計算!$J$5+MAX(-(計算!$J$5),MIN(200,(ROUNDDOWN(計算!$J$5/2,0)*BC$10+ROUNDDOWN(計算!$J$5/4,0)*BC$11))))/2,0))/2,0)/16,0))))</f>
        <v>64</v>
      </c>
      <c r="BD17" s="258"/>
      <c r="BE17" s="257">
        <f ca="1">IF(OR($AT17="",BE$15=""),"",MAX(0,ROUNDDOWN((計算!$AF5-ROUNDDOWN((計算!$J$6+MAX(-(計算!$J$6),MIN(200,(ROUNDDOWN(計算!$J$6/2,0)*BE$10+ROUNDDOWN(計算!$J$6/4,0)*BE$11))))/2,0))/2,0)-(1+ROUNDDOWN(ROUNDDOWN((計算!$AF5-ROUNDDOWN((計算!$J$6+MAX(-(計算!$J$6),MIN(200,(ROUNDDOWN(計算!$J$6/2,0)*BE$10+ROUNDDOWN(計算!$J$6/4,0)*BE$11))))/2,0))/2,0)/16,0))))</f>
        <v>56</v>
      </c>
      <c r="BF17" s="258"/>
      <c r="BG17" s="278">
        <f ca="1">IF(OR($AT17="",BE$15=""),"",MAX(1,ROUNDDOWN((計算!$AF5-ROUNDDOWN((計算!$J$6+MAX(-(計算!$J$6),MIN(200,(ROUNDDOWN(計算!$J$6/2,0)*BG$10+ROUNDDOWN(計算!$J$6/4,0)*BG$11))))/2,0))/2,0)+(1+ROUNDDOWN(ROUNDDOWN((計算!$AF5-ROUNDDOWN((計算!$J$6+MAX(-(計算!$J$6),MIN(200,(ROUNDDOWN(計算!$J$6/2,0)*BG$10+ROUNDDOWN(計算!$J$6/4,0)*BG$11))))/2,0))/2,0)/16,0))))</f>
        <v>64</v>
      </c>
      <c r="BH17" s="258"/>
      <c r="BI17" s="257">
        <f ca="1">IF(OR($AT17="",BI$15=""),"",MAX(0,ROUNDDOWN((計算!$AF5-ROUNDDOWN((計算!$J$7+MAX(-(計算!$J$7),MIN(200,(ROUNDDOWN(計算!$J$7/2,0)*BI$10+ROUNDDOWN(計算!$J$7/4,0)*BI$11))))/2,0))/2,0)-(1+ROUNDDOWN(ROUNDDOWN((計算!$AF5-ROUNDDOWN((計算!$J$7+MAX(-(計算!$J$7),MIN(200,(ROUNDDOWN(計算!$J$7/2,0)*BI$10+ROUNDDOWN(計算!$J$7/4,0)*BI$11))))/2,0))/2,0)/16,0))))</f>
        <v>56</v>
      </c>
      <c r="BJ17" s="258"/>
      <c r="BK17" s="278">
        <f ca="1">IF(OR($AT17="",BI$15=""),"",MAX(1,ROUNDDOWN((計算!$AF5-ROUNDDOWN((計算!$J$7+MAX(-(計算!$J$7),MIN(200,(ROUNDDOWN(計算!$J$7/2,0)*BK$10+ROUNDDOWN(計算!$J$7/4,0)*BK$11))))/2,0))/2,0)+(1+ROUNDDOWN(ROUNDDOWN((計算!$AF5-ROUNDDOWN((計算!$J$7+MAX(-(計算!$J$7),MIN(200,(ROUNDDOWN(計算!$J$7/2,0)*BK$10+ROUNDDOWN(計算!$J$7/4,0)*BK$11))))/2,0))/2,0)/16,0))))</f>
        <v>64</v>
      </c>
      <c r="BL17" s="258"/>
      <c r="BM17" s="257">
        <f ca="1">IF(OR($AT17="",BM$15=""),"",MAX(0,ROUNDDOWN((計算!$AF5-ROUNDDOWN((計算!$J$8+MAX(-(計算!$J$8),MIN(200,(ROUNDDOWN(計算!$J$8/2,0)*BM$10+ROUNDDOWN(計算!$J$8/4,0)*BM$11))))/2,0))/2,0)-(1+ROUNDDOWN(ROUNDDOWN((計算!$AF5-ROUNDDOWN((計算!$J$8+MAX(-(計算!$J$8),MIN(200,(ROUNDDOWN(計算!$J$8/2,0)*BM$10+ROUNDDOWN(計算!$J$8/4,0)*BM$11))))/2,0))/2,0)/16,0))))</f>
        <v>56</v>
      </c>
      <c r="BN17" s="258"/>
      <c r="BO17" s="278">
        <f ca="1">IF(OR($AT17="",BM$15=""),"",MAX(1,ROUNDDOWN((計算!$AF5-ROUNDDOWN((計算!$J$8+MAX(-(計算!$J$8),MIN(200,(ROUNDDOWN(計算!$J$8/2,0)*BO$10+ROUNDDOWN(計算!$J$8/4,0)*BO$11))))/2,0))/2,0)+(1+ROUNDDOWN(ROUNDDOWN((計算!$AF5-ROUNDDOWN((計算!$J$8+MAX(-(計算!$J$8),MIN(200,(ROUNDDOWN(計算!$J$8/2,0)*BO$10+ROUNDDOWN(計算!$J$8/4,0)*BO$11))))/2,0))/2,0)/16,0))))</f>
        <v>64</v>
      </c>
      <c r="BP17" s="258"/>
      <c r="BQ17" s="257">
        <f ca="1">IF(OR($AT17="",BQ$15=""),"",MAX(0,ROUNDDOWN((計算!$AF5-ROUNDDOWN((計算!$J$9+MAX(-(計算!$J$9),MIN(200,(ROUNDDOWN(計算!$J$9/2,0)*BQ$10+ROUNDDOWN(計算!$J$9/4,0)*BQ$11))))/2,0))/2,0)-(1+ROUNDDOWN(ROUNDDOWN((計算!$AF5-ROUNDDOWN((計算!$J$9+MAX(-(計算!$J$9),MIN(200,(ROUNDDOWN(計算!$J$9/2,0)*BQ$10+ROUNDDOWN(計算!$J$9/4,0)*BQ$11))))/2,0))/2,0)/16,0))))</f>
        <v>93</v>
      </c>
      <c r="BR17" s="258"/>
      <c r="BS17" s="278">
        <f ca="1">IF(OR($AT17="",BQ$15=""),"",MAX(1,ROUNDDOWN((計算!$AF5-ROUNDDOWN((計算!$J$9+MAX(-(計算!$J$9),MIN(200,(ROUNDDOWN(計算!$J$9/2,0)*BS$10+ROUNDDOWN(計算!$J$9/4,0)*BS$11))))/2,0))/2,0)+(1+ROUNDDOWN(ROUNDDOWN((計算!$AF5-ROUNDDOWN((計算!$J$9+MAX(-(計算!$J$9),MIN(200,(ROUNDDOWN(計算!$J$9/2,0)*BS$10+ROUNDDOWN(計算!$J$9/4,0)*BS$11))))/2,0))/2,0)/16,0))))</f>
        <v>107</v>
      </c>
      <c r="BT17" s="258"/>
      <c r="BU17" s="257">
        <f ca="1">IF(OR($AT17="",BU$15=""),"",MAX(0,ROUNDDOWN((計算!$AF5-ROUNDDOWN((計算!$J$10+MAX(-(計算!$J$10),MIN(200,(ROUNDDOWN(計算!$J$10/2,0)*BU$10+ROUNDDOWN(計算!$J$10/4,0)*BU$11))))/2,0))/2,0)-(1+ROUNDDOWN(ROUNDDOWN((計算!$AF5-ROUNDDOWN((計算!$J$10+MAX(-(計算!$J$10),MIN(200,(ROUNDDOWN(計算!$J$10/2,0)*BU$10+ROUNDDOWN(計算!$J$10/4,0)*BU$11))))/2,0))/2,0)/16,0))))</f>
        <v>93</v>
      </c>
      <c r="BV17" s="258"/>
      <c r="BW17" s="278">
        <f ca="1">IF(OR($AT17="",BU$15=""),"",MAX(1,ROUNDDOWN((計算!$AF5-ROUNDDOWN((計算!$J$10+MAX(-(計算!$J$10),MIN(200,(ROUNDDOWN(計算!$J$10/2,0)*BW$10+ROUNDDOWN(計算!$J$10/4,0)*BW$11))))/2,0))/2,0)+(1+ROUNDDOWN(ROUNDDOWN((計算!$AF5-ROUNDDOWN((計算!$J$10+MAX(-(計算!$J$10),MIN(200,(ROUNDDOWN(計算!$J$10/2,0)*BW$10+ROUNDDOWN(計算!$J$10/4,0)*BW$11))))/2,0))/2,0)/16,0))))</f>
        <v>107</v>
      </c>
      <c r="BX17" s="258"/>
      <c r="BY17" s="257">
        <f ca="1">IF(OR($AT17="",BY$15=""),"",MAX(0,ROUNDDOWN((計算!$AF5-ROUNDDOWN((計算!$J$11+MAX(-(計算!$J$11),MIN(200,(ROUNDDOWN(計算!$J$11/2,0)*BY$10+ROUNDDOWN(計算!$J$11/4,0)*BY$11))))/2,0))/2,0)-(1+ROUNDDOWN(ROUNDDOWN((計算!$AF5-ROUNDDOWN((計算!$J$11+MAX(-(計算!$J$11),MIN(200,(ROUNDDOWN(計算!$J$11/2,0)*BY$10+ROUNDDOWN(計算!$J$11/4,0)*BY$11))))/2,0))/2,0)/16,0))))</f>
        <v>93</v>
      </c>
      <c r="BZ17" s="258"/>
      <c r="CA17" s="278">
        <f ca="1">IF(OR($AT17="",BY$15=""),"",MAX(1,ROUNDDOWN((計算!$AF5-ROUNDDOWN((計算!$J$11+MAX(-(計算!$J$11),MIN(200,(ROUNDDOWN(計算!$J$11/2,0)*CA$10+ROUNDDOWN(計算!$J$11/4,0)*CA$11))))/2,0))/2,0)+(1+ROUNDDOWN(ROUNDDOWN((計算!$AF5-ROUNDDOWN((計算!$J$11+MAX(-(計算!$J$11),MIN(200,(ROUNDDOWN(計算!$J$11/2,0)*CA$10+ROUNDDOWN(計算!$J$11/4,0)*CA$11))))/2,0))/2,0)/16,0))))</f>
        <v>107</v>
      </c>
      <c r="CB17" s="258"/>
      <c r="CC17" s="115" t="str">
        <f>IF(計算!F21="","",VLOOKUP(計算!F21,味方技,6,0))</f>
        <v>岩石</v>
      </c>
      <c r="CD17" s="115" t="str">
        <f>IF(計算!F21="","",VLOOKUP(計算!F21,味方技,7,0))</f>
        <v>単体</v>
      </c>
    </row>
    <row r="18" spans="2:82" x14ac:dyDescent="0.15">
      <c r="B18" s="9" t="str">
        <f t="shared" ca="1" si="0"/>
        <v>熟練度稼ぎ1</v>
      </c>
      <c r="C18" s="9">
        <f t="shared" ca="1" si="1"/>
        <v>13</v>
      </c>
      <c r="D18" s="9">
        <v>99</v>
      </c>
      <c r="H18" s="98" t="str">
        <f t="shared" ca="1" si="16"/>
        <v>デスタムーア3</v>
      </c>
      <c r="I18" s="108" t="str">
        <f>IF(計算!F38="","",VLOOKUP(計算!F38,敵技,4,0))</f>
        <v>雪</v>
      </c>
      <c r="J18" s="106" t="str">
        <f>IF(計算!F38="","",VLOOKUP(計算!F38,敵技,5,0))</f>
        <v>高</v>
      </c>
      <c r="K18" s="257">
        <f ca="1">IF(OR($H18="",K$15=""),"",MAX(0,ROUNDDOWN((計算!$I6-ROUNDDOWN((計算!$AG$4+MAX(-(計算!$AG$4),MIN(200,(ROUNDDOWN(計算!$AG$4/2,0)*K$10+ROUNDDOWN(計算!$AG$4/4,0)*K$11))))/2,0))/2,0)-(1+ROUNDDOWN(ROUNDDOWN((計算!$I6-ROUNDDOWN((計算!$AG$4+MAX(-(計算!$AG$4),MIN(200,(ROUNDDOWN(計算!$AG$4/2,0)*K$10+ROUNDDOWN(計算!$AG$4/4,0)*K$11))))/2,0))/2,0)/16,0))))</f>
        <v>89</v>
      </c>
      <c r="L18" s="258"/>
      <c r="M18" s="259">
        <f ca="1">IF(OR($H18="",K$15=""),"",MAX(1,ROUNDDOWN((計算!$I6-ROUNDDOWN((計算!$AG$4+MAX(-(計算!$AG$4),MIN(200,(ROUNDDOWN(計算!$AG$4/2,0)*K$10+ROUNDDOWN(計算!$AG$4/4,0)*K$11))))/2,0))/2,0)+(1+ROUNDDOWN(ROUNDDOWN((計算!$I6-ROUNDDOWN((計算!$AG$4+MAX(-(計算!$AG$4),MIN(200,(ROUNDDOWN(計算!$AG$4/2,0)*K$10+ROUNDDOWN(計算!$AG$4/4,0)*K$11))))/2,0))/2,0)/16,0))))</f>
        <v>103</v>
      </c>
      <c r="N18" s="260"/>
      <c r="O18" s="257">
        <f ca="1">IF(OR($H18="",O$15=""),"",MAX(0,ROUNDDOWN((計算!$I6-ROUNDDOWN((計算!$AG$5+MAX(-(計算!$AG$5),MIN(200,(ROUNDDOWN(計算!$AG$5/2,0)*O$10+ROUNDDOWN(計算!$AG$5/4,0)*O$11))))/2,0))/2,0)-(1+ROUNDDOWN(ROUNDDOWN((計算!$I6-ROUNDDOWN((計算!$AG$5+MAX(-(計算!$AG$5),MIN(200,(ROUNDDOWN(計算!$AG$5/2,0)*O$10+ROUNDDOWN(計算!$AG$5/4,0)*O$11))))/2,0))/2,0)/16,0))))</f>
        <v>75</v>
      </c>
      <c r="P18" s="258"/>
      <c r="Q18" s="259">
        <f ca="1">IF(OR($H18="",O$15=""),"",MAX(1,ROUNDDOWN((計算!$I6-ROUNDDOWN((計算!$AG$5+MAX(-(計算!$AG$5),MIN(200,(ROUNDDOWN(計算!$AG$5/2,0)*O$10+ROUNDDOWN(計算!$AG$5/4,0)*O$11))))/2,0))/2,0)+(1+ROUNDDOWN(ROUNDDOWN((計算!$I6-ROUNDDOWN((計算!$AG$5+MAX(-(計算!$AG$5),MIN(200,(ROUNDDOWN(計算!$AG$5/2,0)*O$10+ROUNDDOWN(計算!$AG$5/4,0)*O$11))))/2,0))/2,0)/16,0))))</f>
        <v>87</v>
      </c>
      <c r="R18" s="260"/>
      <c r="S18" s="257">
        <f ca="1">IF(OR($H18="",S$15=""),"",MAX(0,ROUNDDOWN((計算!$I6-ROUNDDOWN((計算!$AG$6+MAX(-(計算!$AG$6),MIN(200,(ROUNDDOWN(計算!$AG$6/2,0)*S$10+ROUNDDOWN(計算!$AG$6/4,0)*S$11))))/2,0))/2,0)-(1+ROUNDDOWN(ROUNDDOWN((計算!$I6-ROUNDDOWN((計算!$AG$6+MAX(-(計算!$AG$6),MIN(200,(ROUNDDOWN(計算!$AG$6/2,0)*S$10+ROUNDDOWN(計算!$AG$6/4,0)*S$11))))/2,0))/2,0)/16,0))))</f>
        <v>115</v>
      </c>
      <c r="T18" s="258"/>
      <c r="U18" s="259">
        <f ca="1">IF(OR($H18="",S$15=""),"",MAX(1,ROUNDDOWN((計算!$I6-ROUNDDOWN((計算!$AG$6+MAX(-(計算!$AG$6),MIN(200,(ROUNDDOWN(計算!$AG$6/2,0)*S$10+ROUNDDOWN(計算!$AG$6/4,0)*S$11))))/2,0))/2,0)+(1+ROUNDDOWN(ROUNDDOWN((計算!$I6-ROUNDDOWN((計算!$AG$6+MAX(-(計算!$AG$6),MIN(200,(ROUNDDOWN(計算!$AG$6/2,0)*S$10+ROUNDDOWN(計算!$AG$6/4,0)*S$11))))/2,0))/2,0)/16,0))))</f>
        <v>131</v>
      </c>
      <c r="V18" s="260"/>
      <c r="W18" s="257">
        <f ca="1">IF(OR($H18="",W$15=""),"",MAX(0,ROUNDDOWN((計算!$I6-ROUNDDOWN((計算!$AG$7+MAX(-(計算!$AG$7),MIN(200,(ROUNDDOWN(計算!$AG$7/2,0)*W$10+ROUNDDOWN(計算!$AG$7/4,0)*W$11))))/2,0))/2,0)-(1+ROUNDDOWN(ROUNDDOWN((計算!$I6-ROUNDDOWN((計算!$AG$7+MAX(-(計算!$AG$7),MIN(200,(ROUNDDOWN(計算!$AG$7/2,0)*W$10+ROUNDDOWN(計算!$AG$7/4,0)*W$11))))/2,0))/2,0)/16,0))))</f>
        <v>128</v>
      </c>
      <c r="X18" s="258"/>
      <c r="Y18" s="259">
        <f ca="1">IF(OR($H18="",W$15=""),"",MAX(1,ROUNDDOWN((計算!$I6-ROUNDDOWN((計算!$AG$7+MAX(-(計算!$AG$7),MIN(200,(ROUNDDOWN(計算!$AG$7/2,0)*W$10+ROUNDDOWN(計算!$AG$7/4,0)*W$11))))/2,0))/2,0)+(1+ROUNDDOWN(ROUNDDOWN((計算!$I6-ROUNDDOWN((計算!$AG$7+MAX(-(計算!$AG$7),MIN(200,(ROUNDDOWN(計算!$AG$7/2,0)*W$10+ROUNDDOWN(計算!$AG$7/4,0)*W$11))))/2,0))/2,0)/16,0))))</f>
        <v>146</v>
      </c>
      <c r="Z18" s="260"/>
      <c r="AA18" s="257">
        <f ca="1">IF(OR($H18="",AA$15=""),"",MAX(0,ROUNDDOWN((計算!$I6-ROUNDDOWN((計算!$AG$8+MAX(-(計算!$AG$8),MIN(200,(ROUNDDOWN(計算!$AG$8/2,0)*AA$10+ROUNDDOWN(計算!$AG$8/4,0)*AA$11))))/2,0))/2,0)-(1+ROUNDDOWN(ROUNDDOWN((計算!$I6-ROUNDDOWN((計算!$AG$8+MAX(-(計算!$AG$8),MIN(200,(ROUNDDOWN(計算!$AG$8/2,0)*AA$10+ROUNDDOWN(計算!$AG$8/4,0)*AA$11))))/2,0))/2,0)/16,0))))</f>
        <v>118</v>
      </c>
      <c r="AB18" s="258"/>
      <c r="AC18" s="259">
        <f ca="1">IF(OR($H18="",AA$15=""),"",MAX(1,ROUNDDOWN((計算!$I6-ROUNDDOWN((計算!$AG$8+MAX(-(計算!$AG$8),MIN(200,(ROUNDDOWN(計算!$AG$8/2,0)*AA$10+ROUNDDOWN(計算!$AG$8/4,0)*AA$11))))/2,0))/2,0)+(1+ROUNDDOWN(ROUNDDOWN((計算!$I6-ROUNDDOWN((計算!$AG$8+MAX(-(計算!$AG$8),MIN(200,(ROUNDDOWN(計算!$AG$8/2,0)*AA$10+ROUNDDOWN(計算!$AG$8/4,0)*AA$11))))/2,0))/2,0)/16,0))))</f>
        <v>134</v>
      </c>
      <c r="AD18" s="260"/>
      <c r="AE18" s="257">
        <f ca="1">IF(OR($H18="",AE$15=""),"",MAX(0,ROUNDDOWN((計算!$I6-ROUNDDOWN((計算!$AG$9+MAX(-(計算!$AG$9),MIN(200,(ROUNDDOWN(計算!$AG$9/2,0)*AE$10+ROUNDDOWN(計算!$AG$9/4,0)*AE$11))))/2,0))/2,0)-(1+ROUNDDOWN(ROUNDDOWN((計算!$I6-ROUNDDOWN((計算!$AG$9+MAX(-(計算!$AG$9),MIN(200,(ROUNDDOWN(計算!$AG$9/2,0)*AE$10+ROUNDDOWN(計算!$AG$9/4,0)*AE$11))))/2,0))/2,0)/16,0))))</f>
        <v>109</v>
      </c>
      <c r="AF18" s="258"/>
      <c r="AG18" s="259">
        <f ca="1">IF(OR($H18="",AE$15=""),"",MAX(1,ROUNDDOWN((計算!$I6-ROUNDDOWN((計算!$AG$9+MAX(-(計算!$AG$9),MIN(200,(ROUNDDOWN(計算!$AG$9/2,0)*AE$10+ROUNDDOWN(計算!$AG$9/4,0)*AE$11))))/2,0))/2,0)+(1+ROUNDDOWN(ROUNDDOWN((計算!$I6-ROUNDDOWN((計算!$AG$9+MAX(-(計算!$AG$9),MIN(200,(ROUNDDOWN(計算!$AG$9/2,0)*AE$10+ROUNDDOWN(計算!$AG$9/4,0)*AE$11))))/2,0))/2,0)/16,0))))</f>
        <v>125</v>
      </c>
      <c r="AH18" s="260"/>
      <c r="AI18" s="257">
        <f ca="1">IF(OR($H18="",AI$15=""),"",MAX(0,ROUNDDOWN((計算!$I6-ROUNDDOWN((計算!$AG$10+MAX(-(計算!$AG$10),MIN(200,(ROUNDDOWN(計算!$AG$10/2,0)*AI$10+ROUNDDOWN(計算!$AG$10/4,0)*AI$11))))/2,0))/2,0)-(1+ROUNDDOWN(ROUNDDOWN((計算!$I6-ROUNDDOWN((計算!$AG$10+MAX(-(計算!$AG$10),MIN(200,(ROUNDDOWN(計算!$AG$10/2,0)*AI$10+ROUNDDOWN(計算!$AG$10/4,0)*AI$11))))/2,0))/2,0)/16,0))))</f>
        <v>89</v>
      </c>
      <c r="AJ18" s="258"/>
      <c r="AK18" s="259">
        <f ca="1">IF(OR($H18="",AI$15=""),"",MAX(1,ROUNDDOWN((計算!$I6-ROUNDDOWN((計算!$AG$10+MAX(-(計算!$AG$10),MIN(200,(ROUNDDOWN(計算!$AG$10/2,0)*AI$10+ROUNDDOWN(計算!$AG$10/4,0)*AI$11))))/2,0))/2,0)+(1+ROUNDDOWN(ROUNDDOWN((計算!$I6-ROUNDDOWN((計算!$AG$10+MAX(-(計算!$AG$10),MIN(200,(ROUNDDOWN(計算!$AG$10/2,0)*AI$10+ROUNDDOWN(計算!$AG$10/4,0)*AI$11))))/2,0))/2,0)/16,0))))</f>
        <v>101</v>
      </c>
      <c r="AL18" s="260"/>
      <c r="AM18" s="257">
        <f ca="1">IF(OR($H18="",AM$15=""),"",MAX(0,ROUNDDOWN((計算!$I6-ROUNDDOWN((計算!$AG$11+MAX(-(計算!$AG$11),MIN(200,(ROUNDDOWN(計算!$AG$11/2,0)*AM$10+ROUNDDOWN(計算!$AG$11/4,0)*AM$11))))/2,0))/2,0)-(1+ROUNDDOWN(ROUNDDOWN((計算!$I6-ROUNDDOWN((計算!$AG$11+MAX(-(計算!$AG$11),MIN(200,(ROUNDDOWN(計算!$AG$11/2,0)*AM$10+ROUNDDOWN(計算!$AG$11/4,0)*AM$11))))/2,0))/2,0)/16,0))))</f>
        <v>59</v>
      </c>
      <c r="AN18" s="258"/>
      <c r="AO18" s="259">
        <f ca="1">IF(OR($H18="",AM$15=""),"",MAX(1,ROUNDDOWN((計算!$I6-ROUNDDOWN((計算!$AG$11+MAX(-(計算!$AG$11),MIN(200,(ROUNDDOWN(計算!$AG$11/2,0)*AM$10+ROUNDDOWN(計算!$AG$11/4,0)*AM$11))))/2,0))/2,0)+(1+ROUNDDOWN(ROUNDDOWN((計算!$I6-ROUNDDOWN((計算!$AG$11+MAX(-(計算!$AG$11),MIN(200,(ROUNDDOWN(計算!$AG$11/2,0)*AM$10+ROUNDDOWN(計算!$AG$11/4,0)*AM$11))))/2,0))/2,0)/16,0))))</f>
        <v>69</v>
      </c>
      <c r="AP18" s="260"/>
      <c r="AQ18" s="115" t="str">
        <f>IF(計算!F38="","",VLOOKUP(計算!F38,敵技,6,0))</f>
        <v>なし</v>
      </c>
      <c r="AR18" s="115" t="str">
        <f>IF(計算!F38="","",VLOOKUP(計算!F38,敵技,7,0))</f>
        <v>全体</v>
      </c>
      <c r="AT18" s="99" t="str">
        <f t="shared" ca="1" si="17"/>
        <v>ミレーユ</v>
      </c>
      <c r="AU18" s="108" t="str">
        <f>IF(計算!F22="","",VLOOKUP(計算!F22,味方技,4,0))</f>
        <v/>
      </c>
      <c r="AV18" s="108" t="str">
        <f>IF(計算!F22="","",VLOOKUP(計算!F22,味方技,5,0))</f>
        <v/>
      </c>
      <c r="AW18" s="257">
        <f ca="1">IF(OR($AT18="",AW$15=""),"",MAX(0,ROUNDDOWN((計算!$AF6-ROUNDDOWN((計算!$J$4+MAX(-(計算!$J$4),MIN(200,(ROUNDDOWN(計算!$J$4/2,0)*AW$10+ROUNDDOWN(計算!$J$4/4,0)*AW$11))))/2,0))/2,0)-(1+ROUNDDOWN(ROUNDDOWN((計算!$AF6-ROUNDDOWN((計算!$J$4+MAX(-(計算!$J$4),MIN(200,(ROUNDDOWN(計算!$J$4/2,0)*AW$10+ROUNDDOWN(計算!$J$4/4,0)*AW$11))))/2,0))/2,0)/16,0))))</f>
        <v>0</v>
      </c>
      <c r="AX18" s="258"/>
      <c r="AY18" s="278">
        <f ca="1">IF(OR($AT18="",AW$15=""),"",MAX(1,ROUNDDOWN((計算!$AF6-ROUNDDOWN((計算!$J$4+MAX(-(計算!$J$4),MIN(200,(ROUNDDOWN(計算!$J$4/2,0)*AY$10+ROUNDDOWN(計算!$J$4/4,0)*AY$11))))/2,0))/2,0)+(1+ROUNDDOWN(ROUNDDOWN((計算!$AF6-ROUNDDOWN((計算!$J$4+MAX(-(計算!$J$4),MIN(200,(ROUNDDOWN(計算!$J$4/2,0)*AY$10+ROUNDDOWN(計算!$J$4/4,0)*AY$11))))/2,0))/2,0)/16,0))))</f>
        <v>1</v>
      </c>
      <c r="AZ18" s="258"/>
      <c r="BA18" s="257">
        <f ca="1">IF(OR($AT18="",BA$15=""),"",MAX(0,ROUNDDOWN((計算!$AF6-ROUNDDOWN((計算!$J$5+MAX(-(計算!$J$5),MIN(200,(ROUNDDOWN(計算!$J$5/2,0)*BA$10+ROUNDDOWN(計算!$J$5/4,0)*BA$11))))/2,0))/2,0)-(1+ROUNDDOWN(ROUNDDOWN((計算!$AF6-ROUNDDOWN((計算!$J$5+MAX(-(計算!$J$5),MIN(200,(ROUNDDOWN(計算!$J$5/2,0)*BA$10+ROUNDDOWN(計算!$J$5/4,0)*BA$11))))/2,0))/2,0)/16,0))))</f>
        <v>0</v>
      </c>
      <c r="BB18" s="258"/>
      <c r="BC18" s="278">
        <f ca="1">IF(OR($AT18="",BA$15=""),"",MAX(1,ROUNDDOWN((計算!$AF6-ROUNDDOWN((計算!$J$5+MAX(-(計算!$J$5),MIN(200,(ROUNDDOWN(計算!$J$5/2,0)*BC$10+ROUNDDOWN(計算!$J$5/4,0)*BC$11))))/2,0))/2,0)+(1+ROUNDDOWN(ROUNDDOWN((計算!$AF6-ROUNDDOWN((計算!$J$5+MAX(-(計算!$J$5),MIN(200,(ROUNDDOWN(計算!$J$5/2,0)*BC$10+ROUNDDOWN(計算!$J$5/4,0)*BC$11))))/2,0))/2,0)/16,0))))</f>
        <v>1</v>
      </c>
      <c r="BD18" s="258"/>
      <c r="BE18" s="257">
        <f ca="1">IF(OR($AT18="",BE$15=""),"",MAX(0,ROUNDDOWN((計算!$AF6-ROUNDDOWN((計算!$J$6+MAX(-(計算!$J$6),MIN(200,(ROUNDDOWN(計算!$J$6/2,0)*BE$10+ROUNDDOWN(計算!$J$6/4,0)*BE$11))))/2,0))/2,0)-(1+ROUNDDOWN(ROUNDDOWN((計算!$AF6-ROUNDDOWN((計算!$J$6+MAX(-(計算!$J$6),MIN(200,(ROUNDDOWN(計算!$J$6/2,0)*BE$10+ROUNDDOWN(計算!$J$6/4,0)*BE$11))))/2,0))/2,0)/16,0))))</f>
        <v>0</v>
      </c>
      <c r="BF18" s="258"/>
      <c r="BG18" s="278">
        <f ca="1">IF(OR($AT18="",BE$15=""),"",MAX(1,ROUNDDOWN((計算!$AF6-ROUNDDOWN((計算!$J$6+MAX(-(計算!$J$6),MIN(200,(ROUNDDOWN(計算!$J$6/2,0)*BG$10+ROUNDDOWN(計算!$J$6/4,0)*BG$11))))/2,0))/2,0)+(1+ROUNDDOWN(ROUNDDOWN((計算!$AF6-ROUNDDOWN((計算!$J$6+MAX(-(計算!$J$6),MIN(200,(ROUNDDOWN(計算!$J$6/2,0)*BG$10+ROUNDDOWN(計算!$J$6/4,0)*BG$11))))/2,0))/2,0)/16,0))))</f>
        <v>1</v>
      </c>
      <c r="BH18" s="258"/>
      <c r="BI18" s="257">
        <f ca="1">IF(OR($AT18="",BI$15=""),"",MAX(0,ROUNDDOWN((計算!$AF6-ROUNDDOWN((計算!$J$7+MAX(-(計算!$J$7),MIN(200,(ROUNDDOWN(計算!$J$7/2,0)*BI$10+ROUNDDOWN(計算!$J$7/4,0)*BI$11))))/2,0))/2,0)-(1+ROUNDDOWN(ROUNDDOWN((計算!$AF6-ROUNDDOWN((計算!$J$7+MAX(-(計算!$J$7),MIN(200,(ROUNDDOWN(計算!$J$7/2,0)*BI$10+ROUNDDOWN(計算!$J$7/4,0)*BI$11))))/2,0))/2,0)/16,0))))</f>
        <v>0</v>
      </c>
      <c r="BJ18" s="258"/>
      <c r="BK18" s="278">
        <f ca="1">IF(OR($AT18="",BI$15=""),"",MAX(1,ROUNDDOWN((計算!$AF6-ROUNDDOWN((計算!$J$7+MAX(-(計算!$J$7),MIN(200,(ROUNDDOWN(計算!$J$7/2,0)*BK$10+ROUNDDOWN(計算!$J$7/4,0)*BK$11))))/2,0))/2,0)+(1+ROUNDDOWN(ROUNDDOWN((計算!$AF6-ROUNDDOWN((計算!$J$7+MAX(-(計算!$J$7),MIN(200,(ROUNDDOWN(計算!$J$7/2,0)*BK$10+ROUNDDOWN(計算!$J$7/4,0)*BK$11))))/2,0))/2,0)/16,0))))</f>
        <v>1</v>
      </c>
      <c r="BL18" s="258"/>
      <c r="BM18" s="257">
        <f ca="1">IF(OR($AT18="",BM$15=""),"",MAX(0,ROUNDDOWN((計算!$AF6-ROUNDDOWN((計算!$J$8+MAX(-(計算!$J$8),MIN(200,(ROUNDDOWN(計算!$J$8/2,0)*BM$10+ROUNDDOWN(計算!$J$8/4,0)*BM$11))))/2,0))/2,0)-(1+ROUNDDOWN(ROUNDDOWN((計算!$AF6-ROUNDDOWN((計算!$J$8+MAX(-(計算!$J$8),MIN(200,(ROUNDDOWN(計算!$J$8/2,0)*BM$10+ROUNDDOWN(計算!$J$8/4,0)*BM$11))))/2,0))/2,0)/16,0))))</f>
        <v>0</v>
      </c>
      <c r="BN18" s="258"/>
      <c r="BO18" s="278">
        <f ca="1">IF(OR($AT18="",BM$15=""),"",MAX(1,ROUNDDOWN((計算!$AF6-ROUNDDOWN((計算!$J$8+MAX(-(計算!$J$8),MIN(200,(ROUNDDOWN(計算!$J$8/2,0)*BO$10+ROUNDDOWN(計算!$J$8/4,0)*BO$11))))/2,0))/2,0)+(1+ROUNDDOWN(ROUNDDOWN((計算!$AF6-ROUNDDOWN((計算!$J$8+MAX(-(計算!$J$8),MIN(200,(ROUNDDOWN(計算!$J$8/2,0)*BO$10+ROUNDDOWN(計算!$J$8/4,0)*BO$11))))/2,0))/2,0)/16,0))))</f>
        <v>1</v>
      </c>
      <c r="BP18" s="258"/>
      <c r="BQ18" s="257">
        <f ca="1">IF(OR($AT18="",BQ$15=""),"",MAX(0,ROUNDDOWN((計算!$AF6-ROUNDDOWN((計算!$J$9+MAX(-(計算!$J$9),MIN(200,(ROUNDDOWN(計算!$J$9/2,0)*BQ$10+ROUNDDOWN(計算!$J$9/4,0)*BQ$11))))/2,0))/2,0)-(1+ROUNDDOWN(ROUNDDOWN((計算!$AF6-ROUNDDOWN((計算!$J$9+MAX(-(計算!$J$9),MIN(200,(ROUNDDOWN(計算!$J$9/2,0)*BQ$10+ROUNDDOWN(計算!$J$9/4,0)*BQ$11))))/2,0))/2,0)/16,0))))</f>
        <v>0</v>
      </c>
      <c r="BR18" s="258"/>
      <c r="BS18" s="278">
        <f ca="1">IF(OR($AT18="",BQ$15=""),"",MAX(1,ROUNDDOWN((計算!$AF6-ROUNDDOWN((計算!$J$9+MAX(-(計算!$J$9),MIN(200,(ROUNDDOWN(計算!$J$9/2,0)*BS$10+ROUNDDOWN(計算!$J$9/4,0)*BS$11))))/2,0))/2,0)+(1+ROUNDDOWN(ROUNDDOWN((計算!$AF6-ROUNDDOWN((計算!$J$9+MAX(-(計算!$J$9),MIN(200,(ROUNDDOWN(計算!$J$9/2,0)*BS$10+ROUNDDOWN(計算!$J$9/4,0)*BS$11))))/2,0))/2,0)/16,0))))</f>
        <v>1</v>
      </c>
      <c r="BT18" s="258"/>
      <c r="BU18" s="257">
        <f ca="1">IF(OR($AT18="",BU$15=""),"",MAX(0,ROUNDDOWN((計算!$AF6-ROUNDDOWN((計算!$J$10+MAX(-(計算!$J$10),MIN(200,(ROUNDDOWN(計算!$J$10/2,0)*BU$10+ROUNDDOWN(計算!$J$10/4,0)*BU$11))))/2,0))/2,0)-(1+ROUNDDOWN(ROUNDDOWN((計算!$AF6-ROUNDDOWN((計算!$J$10+MAX(-(計算!$J$10),MIN(200,(ROUNDDOWN(計算!$J$10/2,0)*BU$10+ROUNDDOWN(計算!$J$10/4,0)*BU$11))))/2,0))/2,0)/16,0))))</f>
        <v>0</v>
      </c>
      <c r="BV18" s="258"/>
      <c r="BW18" s="278">
        <f ca="1">IF(OR($AT18="",BU$15=""),"",MAX(1,ROUNDDOWN((計算!$AF6-ROUNDDOWN((計算!$J$10+MAX(-(計算!$J$10),MIN(200,(ROUNDDOWN(計算!$J$10/2,0)*BW$10+ROUNDDOWN(計算!$J$10/4,0)*BW$11))))/2,0))/2,0)+(1+ROUNDDOWN(ROUNDDOWN((計算!$AF6-ROUNDDOWN((計算!$J$10+MAX(-(計算!$J$10),MIN(200,(ROUNDDOWN(計算!$J$10/2,0)*BW$10+ROUNDDOWN(計算!$J$10/4,0)*BW$11))))/2,0))/2,0)/16,0))))</f>
        <v>1</v>
      </c>
      <c r="BX18" s="258"/>
      <c r="BY18" s="257">
        <f ca="1">IF(OR($AT18="",BY$15=""),"",MAX(0,ROUNDDOWN((計算!$AF6-ROUNDDOWN((計算!$J$11+MAX(-(計算!$J$11),MIN(200,(ROUNDDOWN(計算!$J$11/2,0)*BY$10+ROUNDDOWN(計算!$J$11/4,0)*BY$11))))/2,0))/2,0)-(1+ROUNDDOWN(ROUNDDOWN((計算!$AF6-ROUNDDOWN((計算!$J$11+MAX(-(計算!$J$11),MIN(200,(ROUNDDOWN(計算!$J$11/2,0)*BY$10+ROUNDDOWN(計算!$J$11/4,0)*BY$11))))/2,0))/2,0)/16,0))))</f>
        <v>0</v>
      </c>
      <c r="BZ18" s="258"/>
      <c r="CA18" s="278">
        <f ca="1">IF(OR($AT18="",BY$15=""),"",MAX(1,ROUNDDOWN((計算!$AF6-ROUNDDOWN((計算!$J$11+MAX(-(計算!$J$11),MIN(200,(ROUNDDOWN(計算!$J$11/2,0)*CA$10+ROUNDDOWN(計算!$J$11/4,0)*CA$11))))/2,0))/2,0)+(1+ROUNDDOWN(ROUNDDOWN((計算!$AF6-ROUNDDOWN((計算!$J$11+MAX(-(計算!$J$11),MIN(200,(ROUNDDOWN(計算!$J$11/2,0)*CA$10+ROUNDDOWN(計算!$J$11/4,0)*CA$11))))/2,0))/2,0)/16,0))))</f>
        <v>1</v>
      </c>
      <c r="CB18" s="258"/>
      <c r="CC18" s="115" t="str">
        <f>IF(計算!F22="","",VLOOKUP(計算!F22,味方技,6,0))</f>
        <v/>
      </c>
      <c r="CD18" s="115" t="str">
        <f>IF(計算!F22="","",VLOOKUP(計算!F22,味方技,7,0))</f>
        <v/>
      </c>
    </row>
    <row r="19" spans="2:82" x14ac:dyDescent="0.15">
      <c r="B19" s="9" t="str">
        <f t="shared" ca="1" si="0"/>
        <v>熟練度稼ぎ2</v>
      </c>
      <c r="C19" s="9">
        <f t="shared" ca="1" si="1"/>
        <v>14</v>
      </c>
      <c r="D19" s="9">
        <v>107</v>
      </c>
      <c r="F19" s="2" t="s">
        <v>478</v>
      </c>
      <c r="H19" s="98" t="str">
        <f t="shared" ca="1" si="16"/>
        <v>デスタムーア3</v>
      </c>
      <c r="I19" s="108" t="str">
        <f>IF(計算!F39="","",VLOOKUP(計算!F39,敵技,4,0))</f>
        <v>イ</v>
      </c>
      <c r="J19" s="106" t="str">
        <f>IF(計算!F39="","",VLOOKUP(計算!F39,敵技,5,0))</f>
        <v>中</v>
      </c>
      <c r="K19" s="257">
        <f ca="1">IF(OR($H19="",K$15=""),"",MAX(0,ROUNDDOWN((計算!$I7-ROUNDDOWN((計算!$AG$4+MAX(-(計算!$AG$4),MIN(200,(ROUNDDOWN(計算!$AG$4/2,0)*K$10+ROUNDDOWN(計算!$AG$4/4,0)*K$11))))/2,0))/2,0)-(1+ROUNDDOWN(ROUNDDOWN((計算!$I7-ROUNDDOWN((計算!$AG$4+MAX(-(計算!$AG$4),MIN(200,(ROUNDDOWN(計算!$AG$4/2,0)*K$10+ROUNDDOWN(計算!$AG$4/4,0)*K$11))))/2,0))/2,0)/16,0))))</f>
        <v>89</v>
      </c>
      <c r="L19" s="258"/>
      <c r="M19" s="259">
        <f ca="1">IF(OR($H19="",K$15=""),"",MAX(1,ROUNDDOWN((計算!$I7-ROUNDDOWN((計算!$AG$4+MAX(-(計算!$AG$4),MIN(200,(ROUNDDOWN(計算!$AG$4/2,0)*K$10+ROUNDDOWN(計算!$AG$4/4,0)*K$11))))/2,0))/2,0)+(1+ROUNDDOWN(ROUNDDOWN((計算!$I7-ROUNDDOWN((計算!$AG$4+MAX(-(計算!$AG$4),MIN(200,(ROUNDDOWN(計算!$AG$4/2,0)*K$10+ROUNDDOWN(計算!$AG$4/4,0)*K$11))))/2,0))/2,0)/16,0))))</f>
        <v>103</v>
      </c>
      <c r="N19" s="260"/>
      <c r="O19" s="257">
        <f ca="1">IF(OR($H19="",O$15=""),"",MAX(0,ROUNDDOWN((計算!$I7-ROUNDDOWN((計算!$AG$5+MAX(-(計算!$AG$5),MIN(200,(ROUNDDOWN(計算!$AG$5/2,0)*O$10+ROUNDDOWN(計算!$AG$5/4,0)*O$11))))/2,0))/2,0)-(1+ROUNDDOWN(ROUNDDOWN((計算!$I7-ROUNDDOWN((計算!$AG$5+MAX(-(計算!$AG$5),MIN(200,(ROUNDDOWN(計算!$AG$5/2,0)*O$10+ROUNDDOWN(計算!$AG$5/4,0)*O$11))))/2,0))/2,0)/16,0))))</f>
        <v>75</v>
      </c>
      <c r="P19" s="258"/>
      <c r="Q19" s="259">
        <f ca="1">IF(OR($H19="",O$15=""),"",MAX(1,ROUNDDOWN((計算!$I7-ROUNDDOWN((計算!$AG$5+MAX(-(計算!$AG$5),MIN(200,(ROUNDDOWN(計算!$AG$5/2,0)*O$10+ROUNDDOWN(計算!$AG$5/4,0)*O$11))))/2,0))/2,0)+(1+ROUNDDOWN(ROUNDDOWN((計算!$I7-ROUNDDOWN((計算!$AG$5+MAX(-(計算!$AG$5),MIN(200,(ROUNDDOWN(計算!$AG$5/2,0)*O$10+ROUNDDOWN(計算!$AG$5/4,0)*O$11))))/2,0))/2,0)/16,0))))</f>
        <v>87</v>
      </c>
      <c r="R19" s="260"/>
      <c r="S19" s="257">
        <f ca="1">IF(OR($H19="",S$15=""),"",MAX(0,ROUNDDOWN((計算!$I7-ROUNDDOWN((計算!$AG$6+MAX(-(計算!$AG$6),MIN(200,(ROUNDDOWN(計算!$AG$6/2,0)*S$10+ROUNDDOWN(計算!$AG$6/4,0)*S$11))))/2,0))/2,0)-(1+ROUNDDOWN(ROUNDDOWN((計算!$I7-ROUNDDOWN((計算!$AG$6+MAX(-(計算!$AG$6),MIN(200,(ROUNDDOWN(計算!$AG$6/2,0)*S$10+ROUNDDOWN(計算!$AG$6/4,0)*S$11))))/2,0))/2,0)/16,0))))</f>
        <v>115</v>
      </c>
      <c r="T19" s="258"/>
      <c r="U19" s="259">
        <f ca="1">IF(OR($H19="",S$15=""),"",MAX(1,ROUNDDOWN((計算!$I7-ROUNDDOWN((計算!$AG$6+MAX(-(計算!$AG$6),MIN(200,(ROUNDDOWN(計算!$AG$6/2,0)*S$10+ROUNDDOWN(計算!$AG$6/4,0)*S$11))))/2,0))/2,0)+(1+ROUNDDOWN(ROUNDDOWN((計算!$I7-ROUNDDOWN((計算!$AG$6+MAX(-(計算!$AG$6),MIN(200,(ROUNDDOWN(計算!$AG$6/2,0)*S$10+ROUNDDOWN(計算!$AG$6/4,0)*S$11))))/2,0))/2,0)/16,0))))</f>
        <v>131</v>
      </c>
      <c r="V19" s="260"/>
      <c r="W19" s="257">
        <f ca="1">IF(OR($H19="",W$15=""),"",MAX(0,ROUNDDOWN((計算!$I7-ROUNDDOWN((計算!$AG$7+MAX(-(計算!$AG$7),MIN(200,(ROUNDDOWN(計算!$AG$7/2,0)*W$10+ROUNDDOWN(計算!$AG$7/4,0)*W$11))))/2,0))/2,0)-(1+ROUNDDOWN(ROUNDDOWN((計算!$I7-ROUNDDOWN((計算!$AG$7+MAX(-(計算!$AG$7),MIN(200,(ROUNDDOWN(計算!$AG$7/2,0)*W$10+ROUNDDOWN(計算!$AG$7/4,0)*W$11))))/2,0))/2,0)/16,0))))</f>
        <v>128</v>
      </c>
      <c r="X19" s="258"/>
      <c r="Y19" s="259">
        <f ca="1">IF(OR($H19="",W$15=""),"",MAX(1,ROUNDDOWN((計算!$I7-ROUNDDOWN((計算!$AG$7+MAX(-(計算!$AG$7),MIN(200,(ROUNDDOWN(計算!$AG$7/2,0)*W$10+ROUNDDOWN(計算!$AG$7/4,0)*W$11))))/2,0))/2,0)+(1+ROUNDDOWN(ROUNDDOWN((計算!$I7-ROUNDDOWN((計算!$AG$7+MAX(-(計算!$AG$7),MIN(200,(ROUNDDOWN(計算!$AG$7/2,0)*W$10+ROUNDDOWN(計算!$AG$7/4,0)*W$11))))/2,0))/2,0)/16,0))))</f>
        <v>146</v>
      </c>
      <c r="Z19" s="260"/>
      <c r="AA19" s="257">
        <f ca="1">IF(OR($H19="",AA$15=""),"",MAX(0,ROUNDDOWN((計算!$I7-ROUNDDOWN((計算!$AG$8+MAX(-(計算!$AG$8),MIN(200,(ROUNDDOWN(計算!$AG$8/2,0)*AA$10+ROUNDDOWN(計算!$AG$8/4,0)*AA$11))))/2,0))/2,0)-(1+ROUNDDOWN(ROUNDDOWN((計算!$I7-ROUNDDOWN((計算!$AG$8+MAX(-(計算!$AG$8),MIN(200,(ROUNDDOWN(計算!$AG$8/2,0)*AA$10+ROUNDDOWN(計算!$AG$8/4,0)*AA$11))))/2,0))/2,0)/16,0))))</f>
        <v>118</v>
      </c>
      <c r="AB19" s="258"/>
      <c r="AC19" s="259">
        <f ca="1">IF(OR($H19="",AA$15=""),"",MAX(1,ROUNDDOWN((計算!$I7-ROUNDDOWN((計算!$AG$8+MAX(-(計算!$AG$8),MIN(200,(ROUNDDOWN(計算!$AG$8/2,0)*AA$10+ROUNDDOWN(計算!$AG$8/4,0)*AA$11))))/2,0))/2,0)+(1+ROUNDDOWN(ROUNDDOWN((計算!$I7-ROUNDDOWN((計算!$AG$8+MAX(-(計算!$AG$8),MIN(200,(ROUNDDOWN(計算!$AG$8/2,0)*AA$10+ROUNDDOWN(計算!$AG$8/4,0)*AA$11))))/2,0))/2,0)/16,0))))</f>
        <v>134</v>
      </c>
      <c r="AD19" s="260"/>
      <c r="AE19" s="257">
        <f ca="1">IF(OR($H19="",AE$15=""),"",MAX(0,ROUNDDOWN((計算!$I7-ROUNDDOWN((計算!$AG$9+MAX(-(計算!$AG$9),MIN(200,(ROUNDDOWN(計算!$AG$9/2,0)*AE$10+ROUNDDOWN(計算!$AG$9/4,0)*AE$11))))/2,0))/2,0)-(1+ROUNDDOWN(ROUNDDOWN((計算!$I7-ROUNDDOWN((計算!$AG$9+MAX(-(計算!$AG$9),MIN(200,(ROUNDDOWN(計算!$AG$9/2,0)*AE$10+ROUNDDOWN(計算!$AG$9/4,0)*AE$11))))/2,0))/2,0)/16,0))))</f>
        <v>109</v>
      </c>
      <c r="AF19" s="258"/>
      <c r="AG19" s="259">
        <f ca="1">IF(OR($H19="",AE$15=""),"",MAX(1,ROUNDDOWN((計算!$I7-ROUNDDOWN((計算!$AG$9+MAX(-(計算!$AG$9),MIN(200,(ROUNDDOWN(計算!$AG$9/2,0)*AE$10+ROUNDDOWN(計算!$AG$9/4,0)*AE$11))))/2,0))/2,0)+(1+ROUNDDOWN(ROUNDDOWN((計算!$I7-ROUNDDOWN((計算!$AG$9+MAX(-(計算!$AG$9),MIN(200,(ROUNDDOWN(計算!$AG$9/2,0)*AE$10+ROUNDDOWN(計算!$AG$9/4,0)*AE$11))))/2,0))/2,0)/16,0))))</f>
        <v>125</v>
      </c>
      <c r="AH19" s="260"/>
      <c r="AI19" s="257">
        <f ca="1">IF(OR($H19="",AI$15=""),"",MAX(0,ROUNDDOWN((計算!$I7-ROUNDDOWN((計算!$AG$10+MAX(-(計算!$AG$10),MIN(200,(ROUNDDOWN(計算!$AG$10/2,0)*AI$10+ROUNDDOWN(計算!$AG$10/4,0)*AI$11))))/2,0))/2,0)-(1+ROUNDDOWN(ROUNDDOWN((計算!$I7-ROUNDDOWN((計算!$AG$10+MAX(-(計算!$AG$10),MIN(200,(ROUNDDOWN(計算!$AG$10/2,0)*AI$10+ROUNDDOWN(計算!$AG$10/4,0)*AI$11))))/2,0))/2,0)/16,0))))</f>
        <v>89</v>
      </c>
      <c r="AJ19" s="258"/>
      <c r="AK19" s="259">
        <f ca="1">IF(OR($H19="",AI$15=""),"",MAX(1,ROUNDDOWN((計算!$I7-ROUNDDOWN((計算!$AG$10+MAX(-(計算!$AG$10),MIN(200,(ROUNDDOWN(計算!$AG$10/2,0)*AI$10+ROUNDDOWN(計算!$AG$10/4,0)*AI$11))))/2,0))/2,0)+(1+ROUNDDOWN(ROUNDDOWN((計算!$I7-ROUNDDOWN((計算!$AG$10+MAX(-(計算!$AG$10),MIN(200,(ROUNDDOWN(計算!$AG$10/2,0)*AI$10+ROUNDDOWN(計算!$AG$10/4,0)*AI$11))))/2,0))/2,0)/16,0))))</f>
        <v>101</v>
      </c>
      <c r="AL19" s="260"/>
      <c r="AM19" s="257">
        <f ca="1">IF(OR($H19="",AM$15=""),"",MAX(0,ROUNDDOWN((計算!$I7-ROUNDDOWN((計算!$AG$11+MAX(-(計算!$AG$11),MIN(200,(ROUNDDOWN(計算!$AG$11/2,0)*AM$10+ROUNDDOWN(計算!$AG$11/4,0)*AM$11))))/2,0))/2,0)-(1+ROUNDDOWN(ROUNDDOWN((計算!$I7-ROUNDDOWN((計算!$AG$11+MAX(-(計算!$AG$11),MIN(200,(ROUNDDOWN(計算!$AG$11/2,0)*AM$10+ROUNDDOWN(計算!$AG$11/4,0)*AM$11))))/2,0))/2,0)/16,0))))</f>
        <v>59</v>
      </c>
      <c r="AN19" s="258"/>
      <c r="AO19" s="259">
        <f ca="1">IF(OR($H19="",AM$15=""),"",MAX(1,ROUNDDOWN((計算!$I7-ROUNDDOWN((計算!$AG$11+MAX(-(計算!$AG$11),MIN(200,(ROUNDDOWN(計算!$AG$11/2,0)*AM$10+ROUNDDOWN(計算!$AG$11/4,0)*AM$11))))/2,0))/2,0)+(1+ROUNDDOWN(ROUNDDOWN((計算!$I7-ROUNDDOWN((計算!$AG$11+MAX(-(計算!$AG$11),MIN(200,(ROUNDDOWN(計算!$AG$11/2,0)*AM$10+ROUNDDOWN(計算!$AG$11/4,0)*AM$11))))/2,0))/2,0)/16,0))))</f>
        <v>69</v>
      </c>
      <c r="AP19" s="260"/>
      <c r="AQ19" s="115" t="str">
        <f>IF(計算!F39="","",VLOOKUP(計算!F39,敵技,6,0))</f>
        <v>なし</v>
      </c>
      <c r="AR19" s="115" t="str">
        <f>IF(計算!F39="","",VLOOKUP(計算!F39,敵技,7,0))</f>
        <v>全体</v>
      </c>
      <c r="AT19" s="99" t="str">
        <f t="shared" ca="1" si="17"/>
        <v>バーバラ</v>
      </c>
      <c r="AU19" s="108" t="str">
        <f>IF(計算!F23="","",VLOOKUP(計算!F23,味方技,4,0))</f>
        <v/>
      </c>
      <c r="AV19" s="108" t="str">
        <f>IF(計算!F23="","",VLOOKUP(計算!F23,味方技,5,0))</f>
        <v/>
      </c>
      <c r="AW19" s="257">
        <f ca="1">IF(OR($AT19="",AW$15=""),"",MAX(0,ROUNDDOWN((計算!$AF7-ROUNDDOWN((計算!$J$4+MAX(-(計算!$J$4),MIN(200,(ROUNDDOWN(計算!$J$4/2,0)*AW$10+ROUNDDOWN(計算!$J$4/4,0)*AW$11))))/2,0))/2,0)-(1+ROUNDDOWN(ROUNDDOWN((計算!$AF7-ROUNDDOWN((計算!$J$4+MAX(-(計算!$J$4),MIN(200,(ROUNDDOWN(計算!$J$4/2,0)*AW$10+ROUNDDOWN(計算!$J$4/4,0)*AW$11))))/2,0))/2,0)/16,0))))</f>
        <v>0</v>
      </c>
      <c r="AX19" s="258"/>
      <c r="AY19" s="278">
        <f ca="1">IF(OR($AT19="",AW$15=""),"",MAX(1,ROUNDDOWN((計算!$AF7-ROUNDDOWN((計算!$J$4+MAX(-(計算!$J$4),MIN(200,(ROUNDDOWN(計算!$J$4/2,0)*AY$10+ROUNDDOWN(計算!$J$4/4,0)*AY$11))))/2,0))/2,0)+(1+ROUNDDOWN(ROUNDDOWN((計算!$AF7-ROUNDDOWN((計算!$J$4+MAX(-(計算!$J$4),MIN(200,(ROUNDDOWN(計算!$J$4/2,0)*AY$10+ROUNDDOWN(計算!$J$4/4,0)*AY$11))))/2,0))/2,0)/16,0))))</f>
        <v>1</v>
      </c>
      <c r="AZ19" s="258"/>
      <c r="BA19" s="257">
        <f ca="1">IF(OR($AT19="",BA$15=""),"",MAX(0,ROUNDDOWN((計算!$AF7-ROUNDDOWN((計算!$J$5+MAX(-(計算!$J$5),MIN(200,(ROUNDDOWN(計算!$J$5/2,0)*BA$10+ROUNDDOWN(計算!$J$5/4,0)*BA$11))))/2,0))/2,0)-(1+ROUNDDOWN(ROUNDDOWN((計算!$AF7-ROUNDDOWN((計算!$J$5+MAX(-(計算!$J$5),MIN(200,(ROUNDDOWN(計算!$J$5/2,0)*BA$10+ROUNDDOWN(計算!$J$5/4,0)*BA$11))))/2,0))/2,0)/16,0))))</f>
        <v>0</v>
      </c>
      <c r="BB19" s="258"/>
      <c r="BC19" s="278">
        <f ca="1">IF(OR($AT19="",BA$15=""),"",MAX(1,ROUNDDOWN((計算!$AF7-ROUNDDOWN((計算!$J$5+MAX(-(計算!$J$5),MIN(200,(ROUNDDOWN(計算!$J$5/2,0)*BC$10+ROUNDDOWN(計算!$J$5/4,0)*BC$11))))/2,0))/2,0)+(1+ROUNDDOWN(ROUNDDOWN((計算!$AF7-ROUNDDOWN((計算!$J$5+MAX(-(計算!$J$5),MIN(200,(ROUNDDOWN(計算!$J$5/2,0)*BC$10+ROUNDDOWN(計算!$J$5/4,0)*BC$11))))/2,0))/2,0)/16,0))))</f>
        <v>1</v>
      </c>
      <c r="BD19" s="258"/>
      <c r="BE19" s="257">
        <f ca="1">IF(OR($AT19="",BE$15=""),"",MAX(0,ROUNDDOWN((計算!$AF7-ROUNDDOWN((計算!$J$6+MAX(-(計算!$J$6),MIN(200,(ROUNDDOWN(計算!$J$6/2,0)*BE$10+ROUNDDOWN(計算!$J$6/4,0)*BE$11))))/2,0))/2,0)-(1+ROUNDDOWN(ROUNDDOWN((計算!$AF7-ROUNDDOWN((計算!$J$6+MAX(-(計算!$J$6),MIN(200,(ROUNDDOWN(計算!$J$6/2,0)*BE$10+ROUNDDOWN(計算!$J$6/4,0)*BE$11))))/2,0))/2,0)/16,0))))</f>
        <v>0</v>
      </c>
      <c r="BF19" s="258"/>
      <c r="BG19" s="278">
        <f ca="1">IF(OR($AT19="",BE$15=""),"",MAX(1,ROUNDDOWN((計算!$AF7-ROUNDDOWN((計算!$J$6+MAX(-(計算!$J$6),MIN(200,(ROUNDDOWN(計算!$J$6/2,0)*BG$10+ROUNDDOWN(計算!$J$6/4,0)*BG$11))))/2,0))/2,0)+(1+ROUNDDOWN(ROUNDDOWN((計算!$AF7-ROUNDDOWN((計算!$J$6+MAX(-(計算!$J$6),MIN(200,(ROUNDDOWN(計算!$J$6/2,0)*BG$10+ROUNDDOWN(計算!$J$6/4,0)*BG$11))))/2,0))/2,0)/16,0))))</f>
        <v>1</v>
      </c>
      <c r="BH19" s="258"/>
      <c r="BI19" s="257">
        <f ca="1">IF(OR($AT19="",BI$15=""),"",MAX(0,ROUNDDOWN((計算!$AF7-ROUNDDOWN((計算!$J$7+MAX(-(計算!$J$7),MIN(200,(ROUNDDOWN(計算!$J$7/2,0)*BI$10+ROUNDDOWN(計算!$J$7/4,0)*BI$11))))/2,0))/2,0)-(1+ROUNDDOWN(ROUNDDOWN((計算!$AF7-ROUNDDOWN((計算!$J$7+MAX(-(計算!$J$7),MIN(200,(ROUNDDOWN(計算!$J$7/2,0)*BI$10+ROUNDDOWN(計算!$J$7/4,0)*BI$11))))/2,0))/2,0)/16,0))))</f>
        <v>0</v>
      </c>
      <c r="BJ19" s="258"/>
      <c r="BK19" s="278">
        <f ca="1">IF(OR($AT19="",BI$15=""),"",MAX(1,ROUNDDOWN((計算!$AF7-ROUNDDOWN((計算!$J$7+MAX(-(計算!$J$7),MIN(200,(ROUNDDOWN(計算!$J$7/2,0)*BK$10+ROUNDDOWN(計算!$J$7/4,0)*BK$11))))/2,0))/2,0)+(1+ROUNDDOWN(ROUNDDOWN((計算!$AF7-ROUNDDOWN((計算!$J$7+MAX(-(計算!$J$7),MIN(200,(ROUNDDOWN(計算!$J$7/2,0)*BK$10+ROUNDDOWN(計算!$J$7/4,0)*BK$11))))/2,0))/2,0)/16,0))))</f>
        <v>1</v>
      </c>
      <c r="BL19" s="258"/>
      <c r="BM19" s="257">
        <f ca="1">IF(OR($AT19="",BM$15=""),"",MAX(0,ROUNDDOWN((計算!$AF7-ROUNDDOWN((計算!$J$8+MAX(-(計算!$J$8),MIN(200,(ROUNDDOWN(計算!$J$8/2,0)*BM$10+ROUNDDOWN(計算!$J$8/4,0)*BM$11))))/2,0))/2,0)-(1+ROUNDDOWN(ROUNDDOWN((計算!$AF7-ROUNDDOWN((計算!$J$8+MAX(-(計算!$J$8),MIN(200,(ROUNDDOWN(計算!$J$8/2,0)*BM$10+ROUNDDOWN(計算!$J$8/4,0)*BM$11))))/2,0))/2,0)/16,0))))</f>
        <v>0</v>
      </c>
      <c r="BN19" s="258"/>
      <c r="BO19" s="278">
        <f ca="1">IF(OR($AT19="",BM$15=""),"",MAX(1,ROUNDDOWN((計算!$AF7-ROUNDDOWN((計算!$J$8+MAX(-(計算!$J$8),MIN(200,(ROUNDDOWN(計算!$J$8/2,0)*BO$10+ROUNDDOWN(計算!$J$8/4,0)*BO$11))))/2,0))/2,0)+(1+ROUNDDOWN(ROUNDDOWN((計算!$AF7-ROUNDDOWN((計算!$J$8+MAX(-(計算!$J$8),MIN(200,(ROUNDDOWN(計算!$J$8/2,0)*BO$10+ROUNDDOWN(計算!$J$8/4,0)*BO$11))))/2,0))/2,0)/16,0))))</f>
        <v>1</v>
      </c>
      <c r="BP19" s="258"/>
      <c r="BQ19" s="257">
        <f ca="1">IF(OR($AT19="",BQ$15=""),"",MAX(0,ROUNDDOWN((計算!$AF7-ROUNDDOWN((計算!$J$9+MAX(-(計算!$J$9),MIN(200,(ROUNDDOWN(計算!$J$9/2,0)*BQ$10+ROUNDDOWN(計算!$J$9/4,0)*BQ$11))))/2,0))/2,0)-(1+ROUNDDOWN(ROUNDDOWN((計算!$AF7-ROUNDDOWN((計算!$J$9+MAX(-(計算!$J$9),MIN(200,(ROUNDDOWN(計算!$J$9/2,0)*BQ$10+ROUNDDOWN(計算!$J$9/4,0)*BQ$11))))/2,0))/2,0)/16,0))))</f>
        <v>0</v>
      </c>
      <c r="BR19" s="258"/>
      <c r="BS19" s="278">
        <f ca="1">IF(OR($AT19="",BQ$15=""),"",MAX(1,ROUNDDOWN((計算!$AF7-ROUNDDOWN((計算!$J$9+MAX(-(計算!$J$9),MIN(200,(ROUNDDOWN(計算!$J$9/2,0)*BS$10+ROUNDDOWN(計算!$J$9/4,0)*BS$11))))/2,0))/2,0)+(1+ROUNDDOWN(ROUNDDOWN((計算!$AF7-ROUNDDOWN((計算!$J$9+MAX(-(計算!$J$9),MIN(200,(ROUNDDOWN(計算!$J$9/2,0)*BS$10+ROUNDDOWN(計算!$J$9/4,0)*BS$11))))/2,0))/2,0)/16,0))))</f>
        <v>1</v>
      </c>
      <c r="BT19" s="258"/>
      <c r="BU19" s="257">
        <f ca="1">IF(OR($AT19="",BU$15=""),"",MAX(0,ROUNDDOWN((計算!$AF7-ROUNDDOWN((計算!$J$10+MAX(-(計算!$J$10),MIN(200,(ROUNDDOWN(計算!$J$10/2,0)*BU$10+ROUNDDOWN(計算!$J$10/4,0)*BU$11))))/2,0))/2,0)-(1+ROUNDDOWN(ROUNDDOWN((計算!$AF7-ROUNDDOWN((計算!$J$10+MAX(-(計算!$J$10),MIN(200,(ROUNDDOWN(計算!$J$10/2,0)*BU$10+ROUNDDOWN(計算!$J$10/4,0)*BU$11))))/2,0))/2,0)/16,0))))</f>
        <v>0</v>
      </c>
      <c r="BV19" s="258"/>
      <c r="BW19" s="278">
        <f ca="1">IF(OR($AT19="",BU$15=""),"",MAX(1,ROUNDDOWN((計算!$AF7-ROUNDDOWN((計算!$J$10+MAX(-(計算!$J$10),MIN(200,(ROUNDDOWN(計算!$J$10/2,0)*BW$10+ROUNDDOWN(計算!$J$10/4,0)*BW$11))))/2,0))/2,0)+(1+ROUNDDOWN(ROUNDDOWN((計算!$AF7-ROUNDDOWN((計算!$J$10+MAX(-(計算!$J$10),MIN(200,(ROUNDDOWN(計算!$J$10/2,0)*BW$10+ROUNDDOWN(計算!$J$10/4,0)*BW$11))))/2,0))/2,0)/16,0))))</f>
        <v>1</v>
      </c>
      <c r="BX19" s="258"/>
      <c r="BY19" s="257">
        <f ca="1">IF(OR($AT19="",BY$15=""),"",MAX(0,ROUNDDOWN((計算!$AF7-ROUNDDOWN((計算!$J$11+MAX(-(計算!$J$11),MIN(200,(ROUNDDOWN(計算!$J$11/2,0)*BY$10+ROUNDDOWN(計算!$J$11/4,0)*BY$11))))/2,0))/2,0)-(1+ROUNDDOWN(ROUNDDOWN((計算!$AF7-ROUNDDOWN((計算!$J$11+MAX(-(計算!$J$11),MIN(200,(ROUNDDOWN(計算!$J$11/2,0)*BY$10+ROUNDDOWN(計算!$J$11/4,0)*BY$11))))/2,0))/2,0)/16,0))))</f>
        <v>0</v>
      </c>
      <c r="BZ19" s="258"/>
      <c r="CA19" s="278">
        <f ca="1">IF(OR($AT19="",BY$15=""),"",MAX(1,ROUNDDOWN((計算!$AF7-ROUNDDOWN((計算!$J$11+MAX(-(計算!$J$11),MIN(200,(ROUNDDOWN(計算!$J$11/2,0)*CA$10+ROUNDDOWN(計算!$J$11/4,0)*CA$11))))/2,0))/2,0)+(1+ROUNDDOWN(ROUNDDOWN((計算!$AF7-ROUNDDOWN((計算!$J$11+MAX(-(計算!$J$11),MIN(200,(ROUNDDOWN(計算!$J$11/2,0)*CA$10+ROUNDDOWN(計算!$J$11/4,0)*CA$11))))/2,0))/2,0)/16,0))))</f>
        <v>1</v>
      </c>
      <c r="CB19" s="258"/>
      <c r="CC19" s="115" t="str">
        <f>IF(計算!F23="","",VLOOKUP(計算!F23,味方技,6,0))</f>
        <v/>
      </c>
      <c r="CD19" s="115" t="str">
        <f>IF(計算!F23="","",VLOOKUP(計算!F23,味方技,7,0))</f>
        <v/>
      </c>
    </row>
    <row r="20" spans="2:82" x14ac:dyDescent="0.15">
      <c r="B20" s="9" t="str">
        <f t="shared" ca="1" si="0"/>
        <v>ガルシア</v>
      </c>
      <c r="C20" s="9">
        <f t="shared" ca="1" si="1"/>
        <v>15</v>
      </c>
      <c r="D20" s="9">
        <v>115</v>
      </c>
      <c r="F20" s="8">
        <v>6</v>
      </c>
      <c r="H20" s="98" t="str">
        <f t="shared" ca="1" si="16"/>
        <v>デスタムーア3</v>
      </c>
      <c r="I20" s="108" t="str">
        <f>IF(計算!F40="","",VLOOKUP(計算!F40,敵技,4,0))</f>
        <v>炎</v>
      </c>
      <c r="J20" s="106" t="str">
        <f>IF(計算!F40="","",VLOOKUP(計算!F40,敵技,5,0))</f>
        <v>高</v>
      </c>
      <c r="K20" s="257">
        <f ca="1">IF(OR($H20="",K$15=""),"",MAX(0,ROUNDDOWN((計算!$I8-ROUNDDOWN((計算!$AG$4+MAX(-(計算!$AG$4),MIN(200,(ROUNDDOWN(計算!$AG$4/2,0)*K$10+ROUNDDOWN(計算!$AG$4/4,0)*K$11))))/2,0))/2,0)-(1+ROUNDDOWN(ROUNDDOWN((計算!$I8-ROUNDDOWN((計算!$AG$4+MAX(-(計算!$AG$4),MIN(200,(ROUNDDOWN(計算!$AG$4/2,0)*K$10+ROUNDDOWN(計算!$AG$4/4,0)*K$11))))/2,0))/2,0)/16,0))))</f>
        <v>89</v>
      </c>
      <c r="L20" s="258"/>
      <c r="M20" s="259">
        <f ca="1">IF(OR($H20="",K$15=""),"",MAX(1,ROUNDDOWN((計算!$I8-ROUNDDOWN((計算!$AG$4+MAX(-(計算!$AG$4),MIN(200,(ROUNDDOWN(計算!$AG$4/2,0)*K$10+ROUNDDOWN(計算!$AG$4/4,0)*K$11))))/2,0))/2,0)+(1+ROUNDDOWN(ROUNDDOWN((計算!$I8-ROUNDDOWN((計算!$AG$4+MAX(-(計算!$AG$4),MIN(200,(ROUNDDOWN(計算!$AG$4/2,0)*K$10+ROUNDDOWN(計算!$AG$4/4,0)*K$11))))/2,0))/2,0)/16,0))))</f>
        <v>103</v>
      </c>
      <c r="N20" s="260"/>
      <c r="O20" s="257">
        <f ca="1">IF(OR($H20="",O$15=""),"",MAX(0,ROUNDDOWN((計算!$I8-ROUNDDOWN((計算!$AG$5+MAX(-(計算!$AG$5),MIN(200,(ROUNDDOWN(計算!$AG$5/2,0)*O$10+ROUNDDOWN(計算!$AG$5/4,0)*O$11))))/2,0))/2,0)-(1+ROUNDDOWN(ROUNDDOWN((計算!$I8-ROUNDDOWN((計算!$AG$5+MAX(-(計算!$AG$5),MIN(200,(ROUNDDOWN(計算!$AG$5/2,0)*O$10+ROUNDDOWN(計算!$AG$5/4,0)*O$11))))/2,0))/2,0)/16,0))))</f>
        <v>75</v>
      </c>
      <c r="P20" s="258"/>
      <c r="Q20" s="259">
        <f ca="1">IF(OR($H20="",O$15=""),"",MAX(1,ROUNDDOWN((計算!$I8-ROUNDDOWN((計算!$AG$5+MAX(-(計算!$AG$5),MIN(200,(ROUNDDOWN(計算!$AG$5/2,0)*O$10+ROUNDDOWN(計算!$AG$5/4,0)*O$11))))/2,0))/2,0)+(1+ROUNDDOWN(ROUNDDOWN((計算!$I8-ROUNDDOWN((計算!$AG$5+MAX(-(計算!$AG$5),MIN(200,(ROUNDDOWN(計算!$AG$5/2,0)*O$10+ROUNDDOWN(計算!$AG$5/4,0)*O$11))))/2,0))/2,0)/16,0))))</f>
        <v>87</v>
      </c>
      <c r="R20" s="260"/>
      <c r="S20" s="257">
        <f ca="1">IF(OR($H20="",S$15=""),"",MAX(0,ROUNDDOWN((計算!$I8-ROUNDDOWN((計算!$AG$6+MAX(-(計算!$AG$6),MIN(200,(ROUNDDOWN(計算!$AG$6/2,0)*S$10+ROUNDDOWN(計算!$AG$6/4,0)*S$11))))/2,0))/2,0)-(1+ROUNDDOWN(ROUNDDOWN((計算!$I8-ROUNDDOWN((計算!$AG$6+MAX(-(計算!$AG$6),MIN(200,(ROUNDDOWN(計算!$AG$6/2,0)*S$10+ROUNDDOWN(計算!$AG$6/4,0)*S$11))))/2,0))/2,0)/16,0))))</f>
        <v>115</v>
      </c>
      <c r="T20" s="258"/>
      <c r="U20" s="259">
        <f ca="1">IF(OR($H20="",S$15=""),"",MAX(1,ROUNDDOWN((計算!$I8-ROUNDDOWN((計算!$AG$6+MAX(-(計算!$AG$6),MIN(200,(ROUNDDOWN(計算!$AG$6/2,0)*S$10+ROUNDDOWN(計算!$AG$6/4,0)*S$11))))/2,0))/2,0)+(1+ROUNDDOWN(ROUNDDOWN((計算!$I8-ROUNDDOWN((計算!$AG$6+MAX(-(計算!$AG$6),MIN(200,(ROUNDDOWN(計算!$AG$6/2,0)*S$10+ROUNDDOWN(計算!$AG$6/4,0)*S$11))))/2,0))/2,0)/16,0))))</f>
        <v>131</v>
      </c>
      <c r="V20" s="260"/>
      <c r="W20" s="257">
        <f ca="1">IF(OR($H20="",W$15=""),"",MAX(0,ROUNDDOWN((計算!$I8-ROUNDDOWN((計算!$AG$7+MAX(-(計算!$AG$7),MIN(200,(ROUNDDOWN(計算!$AG$7/2,0)*W$10+ROUNDDOWN(計算!$AG$7/4,0)*W$11))))/2,0))/2,0)-(1+ROUNDDOWN(ROUNDDOWN((計算!$I8-ROUNDDOWN((計算!$AG$7+MAX(-(計算!$AG$7),MIN(200,(ROUNDDOWN(計算!$AG$7/2,0)*W$10+ROUNDDOWN(計算!$AG$7/4,0)*W$11))))/2,0))/2,0)/16,0))))</f>
        <v>128</v>
      </c>
      <c r="X20" s="258"/>
      <c r="Y20" s="259">
        <f ca="1">IF(OR($H20="",W$15=""),"",MAX(1,ROUNDDOWN((計算!$I8-ROUNDDOWN((計算!$AG$7+MAX(-(計算!$AG$7),MIN(200,(ROUNDDOWN(計算!$AG$7/2,0)*W$10+ROUNDDOWN(計算!$AG$7/4,0)*W$11))))/2,0))/2,0)+(1+ROUNDDOWN(ROUNDDOWN((計算!$I8-ROUNDDOWN((計算!$AG$7+MAX(-(計算!$AG$7),MIN(200,(ROUNDDOWN(計算!$AG$7/2,0)*W$10+ROUNDDOWN(計算!$AG$7/4,0)*W$11))))/2,0))/2,0)/16,0))))</f>
        <v>146</v>
      </c>
      <c r="Z20" s="260"/>
      <c r="AA20" s="257">
        <f ca="1">IF(OR($H20="",AA$15=""),"",MAX(0,ROUNDDOWN((計算!$I8-ROUNDDOWN((計算!$AG$8+MAX(-(計算!$AG$8),MIN(200,(ROUNDDOWN(計算!$AG$8/2,0)*AA$10+ROUNDDOWN(計算!$AG$8/4,0)*AA$11))))/2,0))/2,0)-(1+ROUNDDOWN(ROUNDDOWN((計算!$I8-ROUNDDOWN((計算!$AG$8+MAX(-(計算!$AG$8),MIN(200,(ROUNDDOWN(計算!$AG$8/2,0)*AA$10+ROUNDDOWN(計算!$AG$8/4,0)*AA$11))))/2,0))/2,0)/16,0))))</f>
        <v>118</v>
      </c>
      <c r="AB20" s="258"/>
      <c r="AC20" s="259">
        <f ca="1">IF(OR($H20="",AA$15=""),"",MAX(1,ROUNDDOWN((計算!$I8-ROUNDDOWN((計算!$AG$8+MAX(-(計算!$AG$8),MIN(200,(ROUNDDOWN(計算!$AG$8/2,0)*AA$10+ROUNDDOWN(計算!$AG$8/4,0)*AA$11))))/2,0))/2,0)+(1+ROUNDDOWN(ROUNDDOWN((計算!$I8-ROUNDDOWN((計算!$AG$8+MAX(-(計算!$AG$8),MIN(200,(ROUNDDOWN(計算!$AG$8/2,0)*AA$10+ROUNDDOWN(計算!$AG$8/4,0)*AA$11))))/2,0))/2,0)/16,0))))</f>
        <v>134</v>
      </c>
      <c r="AD20" s="260"/>
      <c r="AE20" s="257">
        <f ca="1">IF(OR($H20="",AE$15=""),"",MAX(0,ROUNDDOWN((計算!$I8-ROUNDDOWN((計算!$AG$9+MAX(-(計算!$AG$9),MIN(200,(ROUNDDOWN(計算!$AG$9/2,0)*AE$10+ROUNDDOWN(計算!$AG$9/4,0)*AE$11))))/2,0))/2,0)-(1+ROUNDDOWN(ROUNDDOWN((計算!$I8-ROUNDDOWN((計算!$AG$9+MAX(-(計算!$AG$9),MIN(200,(ROUNDDOWN(計算!$AG$9/2,0)*AE$10+ROUNDDOWN(計算!$AG$9/4,0)*AE$11))))/2,0))/2,0)/16,0))))</f>
        <v>109</v>
      </c>
      <c r="AF20" s="258"/>
      <c r="AG20" s="259">
        <f ca="1">IF(OR($H20="",AE$15=""),"",MAX(1,ROUNDDOWN((計算!$I8-ROUNDDOWN((計算!$AG$9+MAX(-(計算!$AG$9),MIN(200,(ROUNDDOWN(計算!$AG$9/2,0)*AE$10+ROUNDDOWN(計算!$AG$9/4,0)*AE$11))))/2,0))/2,0)+(1+ROUNDDOWN(ROUNDDOWN((計算!$I8-ROUNDDOWN((計算!$AG$9+MAX(-(計算!$AG$9),MIN(200,(ROUNDDOWN(計算!$AG$9/2,0)*AE$10+ROUNDDOWN(計算!$AG$9/4,0)*AE$11))))/2,0))/2,0)/16,0))))</f>
        <v>125</v>
      </c>
      <c r="AH20" s="260"/>
      <c r="AI20" s="257">
        <f ca="1">IF(OR($H20="",AI$15=""),"",MAX(0,ROUNDDOWN((計算!$I8-ROUNDDOWN((計算!$AG$10+MAX(-(計算!$AG$10),MIN(200,(ROUNDDOWN(計算!$AG$10/2,0)*AI$10+ROUNDDOWN(計算!$AG$10/4,0)*AI$11))))/2,0))/2,0)-(1+ROUNDDOWN(ROUNDDOWN((計算!$I8-ROUNDDOWN((計算!$AG$10+MAX(-(計算!$AG$10),MIN(200,(ROUNDDOWN(計算!$AG$10/2,0)*AI$10+ROUNDDOWN(計算!$AG$10/4,0)*AI$11))))/2,0))/2,0)/16,0))))</f>
        <v>89</v>
      </c>
      <c r="AJ20" s="258"/>
      <c r="AK20" s="259">
        <f ca="1">IF(OR($H20="",AI$15=""),"",MAX(1,ROUNDDOWN((計算!$I8-ROUNDDOWN((計算!$AG$10+MAX(-(計算!$AG$10),MIN(200,(ROUNDDOWN(計算!$AG$10/2,0)*AI$10+ROUNDDOWN(計算!$AG$10/4,0)*AI$11))))/2,0))/2,0)+(1+ROUNDDOWN(ROUNDDOWN((計算!$I8-ROUNDDOWN((計算!$AG$10+MAX(-(計算!$AG$10),MIN(200,(ROUNDDOWN(計算!$AG$10/2,0)*AI$10+ROUNDDOWN(計算!$AG$10/4,0)*AI$11))))/2,0))/2,0)/16,0))))</f>
        <v>101</v>
      </c>
      <c r="AL20" s="260"/>
      <c r="AM20" s="257">
        <f ca="1">IF(OR($H20="",AM$15=""),"",MAX(0,ROUNDDOWN((計算!$I8-ROUNDDOWN((計算!$AG$11+MAX(-(計算!$AG$11),MIN(200,(ROUNDDOWN(計算!$AG$11/2,0)*AM$10+ROUNDDOWN(計算!$AG$11/4,0)*AM$11))))/2,0))/2,0)-(1+ROUNDDOWN(ROUNDDOWN((計算!$I8-ROUNDDOWN((計算!$AG$11+MAX(-(計算!$AG$11),MIN(200,(ROUNDDOWN(計算!$AG$11/2,0)*AM$10+ROUNDDOWN(計算!$AG$11/4,0)*AM$11))))/2,0))/2,0)/16,0))))</f>
        <v>59</v>
      </c>
      <c r="AN20" s="258"/>
      <c r="AO20" s="259">
        <f ca="1">IF(OR($H20="",AM$15=""),"",MAX(1,ROUNDDOWN((計算!$I8-ROUNDDOWN((計算!$AG$11+MAX(-(計算!$AG$11),MIN(200,(ROUNDDOWN(計算!$AG$11/2,0)*AM$10+ROUNDDOWN(計算!$AG$11/4,0)*AM$11))))/2,0))/2,0)+(1+ROUNDDOWN(ROUNDDOWN((計算!$I8-ROUNDDOWN((計算!$AG$11+MAX(-(計算!$AG$11),MIN(200,(ROUNDDOWN(計算!$AG$11/2,0)*AM$10+ROUNDDOWN(計算!$AG$11/4,0)*AM$11))))/2,0))/2,0)/16,0))))</f>
        <v>69</v>
      </c>
      <c r="AP20" s="260"/>
      <c r="AQ20" s="115" t="str">
        <f>IF(計算!F40="","",VLOOKUP(計算!F40,敵技,6,0))</f>
        <v>なし</v>
      </c>
      <c r="AR20" s="115" t="str">
        <f>IF(計算!F40="","",VLOOKUP(計算!F40,敵技,7,0))</f>
        <v>単体</v>
      </c>
      <c r="AT20" s="99" t="str">
        <f t="shared" ca="1" si="17"/>
        <v>チャモロ</v>
      </c>
      <c r="AU20" s="108" t="str">
        <f>IF(計算!F24="","",VLOOKUP(計算!F24,味方技,4,0))</f>
        <v/>
      </c>
      <c r="AV20" s="108" t="str">
        <f>IF(計算!F24="","",VLOOKUP(計算!F24,味方技,5,0))</f>
        <v/>
      </c>
      <c r="AW20" s="257">
        <f ca="1">IF(OR($AT20="",AW$15=""),"",MAX(0,ROUNDDOWN((計算!$AF8-ROUNDDOWN((計算!$J$4+MAX(-(計算!$J$4),MIN(200,(ROUNDDOWN(計算!$J$4/2,0)*AW$10+ROUNDDOWN(計算!$J$4/4,0)*AW$11))))/2,0))/2,0)-(1+ROUNDDOWN(ROUNDDOWN((計算!$AF8-ROUNDDOWN((計算!$J$4+MAX(-(計算!$J$4),MIN(200,(ROUNDDOWN(計算!$J$4/2,0)*AW$10+ROUNDDOWN(計算!$J$4/4,0)*AW$11))))/2,0))/2,0)/16,0))))</f>
        <v>22</v>
      </c>
      <c r="AX20" s="258"/>
      <c r="AY20" s="278">
        <f ca="1">IF(OR($AT20="",AW$15=""),"",MAX(1,ROUNDDOWN((計算!$AF8-ROUNDDOWN((計算!$J$4+MAX(-(計算!$J$4),MIN(200,(ROUNDDOWN(計算!$J$4/2,0)*AY$10+ROUNDDOWN(計算!$J$4/4,0)*AY$11))))/2,0))/2,0)+(1+ROUNDDOWN(ROUNDDOWN((計算!$AF8-ROUNDDOWN((計算!$J$4+MAX(-(計算!$J$4),MIN(200,(ROUNDDOWN(計算!$J$4/2,0)*AY$10+ROUNDDOWN(計算!$J$4/4,0)*AY$11))))/2,0))/2,0)/16,0))))</f>
        <v>26</v>
      </c>
      <c r="AZ20" s="258"/>
      <c r="BA20" s="257">
        <f ca="1">IF(OR($AT20="",BA$15=""),"",MAX(0,ROUNDDOWN((計算!$AF8-ROUNDDOWN((計算!$J$5+MAX(-(計算!$J$5),MIN(200,(ROUNDDOWN(計算!$J$5/2,0)*BA$10+ROUNDDOWN(計算!$J$5/4,0)*BA$11))))/2,0))/2,0)-(1+ROUNDDOWN(ROUNDDOWN((計算!$AF8-ROUNDDOWN((計算!$J$5+MAX(-(計算!$J$5),MIN(200,(ROUNDDOWN(計算!$J$5/2,0)*BA$10+ROUNDDOWN(計算!$J$5/4,0)*BA$11))))/2,0))/2,0)/16,0))))</f>
        <v>22</v>
      </c>
      <c r="BB20" s="258"/>
      <c r="BC20" s="278">
        <f ca="1">IF(OR($AT20="",BA$15=""),"",MAX(1,ROUNDDOWN((計算!$AF8-ROUNDDOWN((計算!$J$5+MAX(-(計算!$J$5),MIN(200,(ROUNDDOWN(計算!$J$5/2,0)*BC$10+ROUNDDOWN(計算!$J$5/4,0)*BC$11))))/2,0))/2,0)+(1+ROUNDDOWN(ROUNDDOWN((計算!$AF8-ROUNDDOWN((計算!$J$5+MAX(-(計算!$J$5),MIN(200,(ROUNDDOWN(計算!$J$5/2,0)*BC$10+ROUNDDOWN(計算!$J$5/4,0)*BC$11))))/2,0))/2,0)/16,0))))</f>
        <v>26</v>
      </c>
      <c r="BD20" s="258"/>
      <c r="BE20" s="257">
        <f ca="1">IF(OR($AT20="",BE$15=""),"",MAX(0,ROUNDDOWN((計算!$AF8-ROUNDDOWN((計算!$J$6+MAX(-(計算!$J$6),MIN(200,(ROUNDDOWN(計算!$J$6/2,0)*BE$10+ROUNDDOWN(計算!$J$6/4,0)*BE$11))))/2,0))/2,0)-(1+ROUNDDOWN(ROUNDDOWN((計算!$AF8-ROUNDDOWN((計算!$J$6+MAX(-(計算!$J$6),MIN(200,(ROUNDDOWN(計算!$J$6/2,0)*BE$10+ROUNDDOWN(計算!$J$6/4,0)*BE$11))))/2,0))/2,0)/16,0))))</f>
        <v>22</v>
      </c>
      <c r="BF20" s="258"/>
      <c r="BG20" s="278">
        <f ca="1">IF(OR($AT20="",BE$15=""),"",MAX(1,ROUNDDOWN((計算!$AF8-ROUNDDOWN((計算!$J$6+MAX(-(計算!$J$6),MIN(200,(ROUNDDOWN(計算!$J$6/2,0)*BG$10+ROUNDDOWN(計算!$J$6/4,0)*BG$11))))/2,0))/2,0)+(1+ROUNDDOWN(ROUNDDOWN((計算!$AF8-ROUNDDOWN((計算!$J$6+MAX(-(計算!$J$6),MIN(200,(ROUNDDOWN(計算!$J$6/2,0)*BG$10+ROUNDDOWN(計算!$J$6/4,0)*BG$11))))/2,0))/2,0)/16,0))))</f>
        <v>26</v>
      </c>
      <c r="BH20" s="258"/>
      <c r="BI20" s="257">
        <f ca="1">IF(OR($AT20="",BI$15=""),"",MAX(0,ROUNDDOWN((計算!$AF8-ROUNDDOWN((計算!$J$7+MAX(-(計算!$J$7),MIN(200,(ROUNDDOWN(計算!$J$7/2,0)*BI$10+ROUNDDOWN(計算!$J$7/4,0)*BI$11))))/2,0))/2,0)-(1+ROUNDDOWN(ROUNDDOWN((計算!$AF8-ROUNDDOWN((計算!$J$7+MAX(-(計算!$J$7),MIN(200,(ROUNDDOWN(計算!$J$7/2,0)*BI$10+ROUNDDOWN(計算!$J$7/4,0)*BI$11))))/2,0))/2,0)/16,0))))</f>
        <v>22</v>
      </c>
      <c r="BJ20" s="258"/>
      <c r="BK20" s="278">
        <f ca="1">IF(OR($AT20="",BI$15=""),"",MAX(1,ROUNDDOWN((計算!$AF8-ROUNDDOWN((計算!$J$7+MAX(-(計算!$J$7),MIN(200,(ROUNDDOWN(計算!$J$7/2,0)*BK$10+ROUNDDOWN(計算!$J$7/4,0)*BK$11))))/2,0))/2,0)+(1+ROUNDDOWN(ROUNDDOWN((計算!$AF8-ROUNDDOWN((計算!$J$7+MAX(-(計算!$J$7),MIN(200,(ROUNDDOWN(計算!$J$7/2,0)*BK$10+ROUNDDOWN(計算!$J$7/4,0)*BK$11))))/2,0))/2,0)/16,0))))</f>
        <v>26</v>
      </c>
      <c r="BL20" s="258"/>
      <c r="BM20" s="257">
        <f ca="1">IF(OR($AT20="",BM$15=""),"",MAX(0,ROUNDDOWN((計算!$AF8-ROUNDDOWN((計算!$J$8+MAX(-(計算!$J$8),MIN(200,(ROUNDDOWN(計算!$J$8/2,0)*BM$10+ROUNDDOWN(計算!$J$8/4,0)*BM$11))))/2,0))/2,0)-(1+ROUNDDOWN(ROUNDDOWN((計算!$AF8-ROUNDDOWN((計算!$J$8+MAX(-(計算!$J$8),MIN(200,(ROUNDDOWN(計算!$J$8/2,0)*BM$10+ROUNDDOWN(計算!$J$8/4,0)*BM$11))))/2,0))/2,0)/16,0))))</f>
        <v>22</v>
      </c>
      <c r="BN20" s="258"/>
      <c r="BO20" s="278">
        <f ca="1">IF(OR($AT20="",BM$15=""),"",MAX(1,ROUNDDOWN((計算!$AF8-ROUNDDOWN((計算!$J$8+MAX(-(計算!$J$8),MIN(200,(ROUNDDOWN(計算!$J$8/2,0)*BO$10+ROUNDDOWN(計算!$J$8/4,0)*BO$11))))/2,0))/2,0)+(1+ROUNDDOWN(ROUNDDOWN((計算!$AF8-ROUNDDOWN((計算!$J$8+MAX(-(計算!$J$8),MIN(200,(ROUNDDOWN(計算!$J$8/2,0)*BO$10+ROUNDDOWN(計算!$J$8/4,0)*BO$11))))/2,0))/2,0)/16,0))))</f>
        <v>26</v>
      </c>
      <c r="BP20" s="258"/>
      <c r="BQ20" s="257">
        <f ca="1">IF(OR($AT20="",BQ$15=""),"",MAX(0,ROUNDDOWN((計算!$AF8-ROUNDDOWN((計算!$J$9+MAX(-(計算!$J$9),MIN(200,(ROUNDDOWN(計算!$J$9/2,0)*BQ$10+ROUNDDOWN(計算!$J$9/4,0)*BQ$11))))/2,0))/2,0)-(1+ROUNDDOWN(ROUNDDOWN((計算!$AF8-ROUNDDOWN((計算!$J$9+MAX(-(計算!$J$9),MIN(200,(ROUNDDOWN(計算!$J$9/2,0)*BQ$10+ROUNDDOWN(計算!$J$9/4,0)*BQ$11))))/2,0))/2,0)/16,0))))</f>
        <v>59</v>
      </c>
      <c r="BR20" s="258"/>
      <c r="BS20" s="278">
        <f ca="1">IF(OR($AT20="",BQ$15=""),"",MAX(1,ROUNDDOWN((計算!$AF8-ROUNDDOWN((計算!$J$9+MAX(-(計算!$J$9),MIN(200,(ROUNDDOWN(計算!$J$9/2,0)*BS$10+ROUNDDOWN(計算!$J$9/4,0)*BS$11))))/2,0))/2,0)+(1+ROUNDDOWN(ROUNDDOWN((計算!$AF8-ROUNDDOWN((計算!$J$9+MAX(-(計算!$J$9),MIN(200,(ROUNDDOWN(計算!$J$9/2,0)*BS$10+ROUNDDOWN(計算!$J$9/4,0)*BS$11))))/2,0))/2,0)/16,0))))</f>
        <v>69</v>
      </c>
      <c r="BT20" s="258"/>
      <c r="BU20" s="257">
        <f ca="1">IF(OR($AT20="",BU$15=""),"",MAX(0,ROUNDDOWN((計算!$AF8-ROUNDDOWN((計算!$J$10+MAX(-(計算!$J$10),MIN(200,(ROUNDDOWN(計算!$J$10/2,0)*BU$10+ROUNDDOWN(計算!$J$10/4,0)*BU$11))))/2,0))/2,0)-(1+ROUNDDOWN(ROUNDDOWN((計算!$AF8-ROUNDDOWN((計算!$J$10+MAX(-(計算!$J$10),MIN(200,(ROUNDDOWN(計算!$J$10/2,0)*BU$10+ROUNDDOWN(計算!$J$10/4,0)*BU$11))))/2,0))/2,0)/16,0))))</f>
        <v>59</v>
      </c>
      <c r="BV20" s="258"/>
      <c r="BW20" s="278">
        <f ca="1">IF(OR($AT20="",BU$15=""),"",MAX(1,ROUNDDOWN((計算!$AF8-ROUNDDOWN((計算!$J$10+MAX(-(計算!$J$10),MIN(200,(ROUNDDOWN(計算!$J$10/2,0)*BW$10+ROUNDDOWN(計算!$J$10/4,0)*BW$11))))/2,0))/2,0)+(1+ROUNDDOWN(ROUNDDOWN((計算!$AF8-ROUNDDOWN((計算!$J$10+MAX(-(計算!$J$10),MIN(200,(ROUNDDOWN(計算!$J$10/2,0)*BW$10+ROUNDDOWN(計算!$J$10/4,0)*BW$11))))/2,0))/2,0)/16,0))))</f>
        <v>69</v>
      </c>
      <c r="BX20" s="258"/>
      <c r="BY20" s="257">
        <f ca="1">IF(OR($AT20="",BY$15=""),"",MAX(0,ROUNDDOWN((計算!$AF8-ROUNDDOWN((計算!$J$11+MAX(-(計算!$J$11),MIN(200,(ROUNDDOWN(計算!$J$11/2,0)*BY$10+ROUNDDOWN(計算!$J$11/4,0)*BY$11))))/2,0))/2,0)-(1+ROUNDDOWN(ROUNDDOWN((計算!$AF8-ROUNDDOWN((計算!$J$11+MAX(-(計算!$J$11),MIN(200,(ROUNDDOWN(計算!$J$11/2,0)*BY$10+ROUNDDOWN(計算!$J$11/4,0)*BY$11))))/2,0))/2,0)/16,0))))</f>
        <v>59</v>
      </c>
      <c r="BZ20" s="258"/>
      <c r="CA20" s="278">
        <f ca="1">IF(OR($AT20="",BY$15=""),"",MAX(1,ROUNDDOWN((計算!$AF8-ROUNDDOWN((計算!$J$11+MAX(-(計算!$J$11),MIN(200,(ROUNDDOWN(計算!$J$11/2,0)*CA$10+ROUNDDOWN(計算!$J$11/4,0)*CA$11))))/2,0))/2,0)+(1+ROUNDDOWN(ROUNDDOWN((計算!$AF8-ROUNDDOWN((計算!$J$11+MAX(-(計算!$J$11),MIN(200,(ROUNDDOWN(計算!$J$11/2,0)*CA$10+ROUNDDOWN(計算!$J$11/4,0)*CA$11))))/2,0))/2,0)/16,0))))</f>
        <v>69</v>
      </c>
      <c r="CB20" s="258"/>
      <c r="CC20" s="115" t="str">
        <f>IF(計算!F24="","",VLOOKUP(計算!F24,味方技,6,0))</f>
        <v/>
      </c>
      <c r="CD20" s="115" t="str">
        <f>IF(計算!F24="","",VLOOKUP(計算!F24,味方技,7,0))</f>
        <v/>
      </c>
    </row>
    <row r="21" spans="2:82" x14ac:dyDescent="0.15">
      <c r="B21" s="9" t="str">
        <f t="shared" ca="1" si="0"/>
        <v>スコット＆ホリデイ</v>
      </c>
      <c r="C21" s="9">
        <f t="shared" ca="1" si="1"/>
        <v>16</v>
      </c>
      <c r="D21" s="9">
        <v>123</v>
      </c>
      <c r="F21" s="9">
        <v>5</v>
      </c>
      <c r="H21" s="98" t="str">
        <f t="shared" ca="1" si="16"/>
        <v>ひだりて</v>
      </c>
      <c r="I21" s="108" t="str">
        <f>IF(計算!F41="","",VLOOKUP(計算!F41,敵技,4,0))</f>
        <v>叩</v>
      </c>
      <c r="J21" s="106" t="str">
        <f>IF(計算!F41="","",VLOOKUP(計算!F41,敵技,5,0))</f>
        <v>物理</v>
      </c>
      <c r="K21" s="257">
        <f ca="1">IF(OR($H21="",K$15=""),"",MAX(0,ROUNDDOWN((計算!$I9-ROUNDDOWN((計算!$AG$4+MAX(-(計算!$AG$4),MIN(200,(ROUNDDOWN(計算!$AG$4/2,0)*K$10+ROUNDDOWN(計算!$AG$4/4,0)*K$11))))/2,0))/2,0)-(1+ROUNDDOWN(ROUNDDOWN((計算!$I9-ROUNDDOWN((計算!$AG$4+MAX(-(計算!$AG$4),MIN(200,(ROUNDDOWN(計算!$AG$4/2,0)*K$10+ROUNDDOWN(計算!$AG$4/4,0)*K$11))))/2,0))/2,0)/16,0))))</f>
        <v>75</v>
      </c>
      <c r="L21" s="258"/>
      <c r="M21" s="259">
        <f ca="1">IF(OR($H21="",K$15=""),"",MAX(1,ROUNDDOWN((計算!$I9-ROUNDDOWN((計算!$AG$4+MAX(-(計算!$AG$4),MIN(200,(ROUNDDOWN(計算!$AG$4/2,0)*K$10+ROUNDDOWN(計算!$AG$4/4,0)*K$11))))/2,0))/2,0)+(1+ROUNDDOWN(ROUNDDOWN((計算!$I9-ROUNDDOWN((計算!$AG$4+MAX(-(計算!$AG$4),MIN(200,(ROUNDDOWN(計算!$AG$4/2,0)*K$10+ROUNDDOWN(計算!$AG$4/4,0)*K$11))))/2,0))/2,0)/16,0))))</f>
        <v>87</v>
      </c>
      <c r="N21" s="260"/>
      <c r="O21" s="257">
        <f ca="1">IF(OR($H21="",O$15=""),"",MAX(0,ROUNDDOWN((計算!$I9-ROUNDDOWN((計算!$AG$5+MAX(-(計算!$AG$5),MIN(200,(ROUNDDOWN(計算!$AG$5/2,0)*O$10+ROUNDDOWN(計算!$AG$5/4,0)*O$11))))/2,0))/2,0)-(1+ROUNDDOWN(ROUNDDOWN((計算!$I9-ROUNDDOWN((計算!$AG$5+MAX(-(計算!$AG$5),MIN(200,(ROUNDDOWN(計算!$AG$5/2,0)*O$10+ROUNDDOWN(計算!$AG$5/4,0)*O$11))))/2,0))/2,0)/16,0))))</f>
        <v>61</v>
      </c>
      <c r="P21" s="258"/>
      <c r="Q21" s="259">
        <f ca="1">IF(OR($H21="",O$15=""),"",MAX(1,ROUNDDOWN((計算!$I9-ROUNDDOWN((計算!$AG$5+MAX(-(計算!$AG$5),MIN(200,(ROUNDDOWN(計算!$AG$5/2,0)*O$10+ROUNDDOWN(計算!$AG$5/4,0)*O$11))))/2,0))/2,0)+(1+ROUNDDOWN(ROUNDDOWN((計算!$I9-ROUNDDOWN((計算!$AG$5+MAX(-(計算!$AG$5),MIN(200,(ROUNDDOWN(計算!$AG$5/2,0)*O$10+ROUNDDOWN(計算!$AG$5/4,0)*O$11))))/2,0))/2,0)/16,0))))</f>
        <v>71</v>
      </c>
      <c r="R21" s="260"/>
      <c r="S21" s="257">
        <f ca="1">IF(OR($H21="",S$15=""),"",MAX(0,ROUNDDOWN((計算!$I9-ROUNDDOWN((計算!$AG$6+MAX(-(計算!$AG$6),MIN(200,(ROUNDDOWN(計算!$AG$6/2,0)*S$10+ROUNDDOWN(計算!$AG$6/4,0)*S$11))))/2,0))/2,0)-(1+ROUNDDOWN(ROUNDDOWN((計算!$I9-ROUNDDOWN((計算!$AG$6+MAX(-(計算!$AG$6),MIN(200,(ROUNDDOWN(計算!$AG$6/2,0)*S$10+ROUNDDOWN(計算!$AG$6/4,0)*S$11))))/2,0))/2,0)/16,0))))</f>
        <v>101</v>
      </c>
      <c r="T21" s="258"/>
      <c r="U21" s="259">
        <f ca="1">IF(OR($H21="",S$15=""),"",MAX(1,ROUNDDOWN((計算!$I9-ROUNDDOWN((計算!$AG$6+MAX(-(計算!$AG$6),MIN(200,(ROUNDDOWN(計算!$AG$6/2,0)*S$10+ROUNDDOWN(計算!$AG$6/4,0)*S$11))))/2,0))/2,0)+(1+ROUNDDOWN(ROUNDDOWN((計算!$I9-ROUNDDOWN((計算!$AG$6+MAX(-(計算!$AG$6),MIN(200,(ROUNDDOWN(計算!$AG$6/2,0)*S$10+ROUNDDOWN(計算!$AG$6/4,0)*S$11))))/2,0))/2,0)/16,0))))</f>
        <v>115</v>
      </c>
      <c r="V21" s="260"/>
      <c r="W21" s="257">
        <f ca="1">IF(OR($H21="",W$15=""),"",MAX(0,ROUNDDOWN((計算!$I9-ROUNDDOWN((計算!$AG$7+MAX(-(計算!$AG$7),MIN(200,(ROUNDDOWN(計算!$AG$7/2,0)*W$10+ROUNDDOWN(計算!$AG$7/4,0)*W$11))))/2,0))/2,0)-(1+ROUNDDOWN(ROUNDDOWN((計算!$I9-ROUNDDOWN((計算!$AG$7+MAX(-(計算!$AG$7),MIN(200,(ROUNDDOWN(計算!$AG$7/2,0)*W$10+ROUNDDOWN(計算!$AG$7/4,0)*W$11))))/2,0))/2,0)/16,0))))</f>
        <v>114</v>
      </c>
      <c r="X21" s="258"/>
      <c r="Y21" s="259">
        <f ca="1">IF(OR($H21="",W$15=""),"",MAX(1,ROUNDDOWN((計算!$I9-ROUNDDOWN((計算!$AG$7+MAX(-(計算!$AG$7),MIN(200,(ROUNDDOWN(計算!$AG$7/2,0)*W$10+ROUNDDOWN(計算!$AG$7/4,0)*W$11))))/2,0))/2,0)+(1+ROUNDDOWN(ROUNDDOWN((計算!$I9-ROUNDDOWN((計算!$AG$7+MAX(-(計算!$AG$7),MIN(200,(ROUNDDOWN(計算!$AG$7/2,0)*W$10+ROUNDDOWN(計算!$AG$7/4,0)*W$11))))/2,0))/2,0)/16,0))))</f>
        <v>130</v>
      </c>
      <c r="Z21" s="260"/>
      <c r="AA21" s="257">
        <f ca="1">IF(OR($H21="",AA$15=""),"",MAX(0,ROUNDDOWN((計算!$I9-ROUNDDOWN((計算!$AG$8+MAX(-(計算!$AG$8),MIN(200,(ROUNDDOWN(計算!$AG$8/2,0)*AA$10+ROUNDDOWN(計算!$AG$8/4,0)*AA$11))))/2,0))/2,0)-(1+ROUNDDOWN(ROUNDDOWN((計算!$I9-ROUNDDOWN((計算!$AG$8+MAX(-(計算!$AG$8),MIN(200,(ROUNDDOWN(計算!$AG$8/2,0)*AA$10+ROUNDDOWN(計算!$AG$8/4,0)*AA$11))))/2,0))/2,0)/16,0))))</f>
        <v>104</v>
      </c>
      <c r="AB21" s="258"/>
      <c r="AC21" s="259">
        <f ca="1">IF(OR($H21="",AA$15=""),"",MAX(1,ROUNDDOWN((計算!$I9-ROUNDDOWN((計算!$AG$8+MAX(-(計算!$AG$8),MIN(200,(ROUNDDOWN(計算!$AG$8/2,0)*AA$10+ROUNDDOWN(計算!$AG$8/4,0)*AA$11))))/2,0))/2,0)+(1+ROUNDDOWN(ROUNDDOWN((計算!$I9-ROUNDDOWN((計算!$AG$8+MAX(-(計算!$AG$8),MIN(200,(ROUNDDOWN(計算!$AG$8/2,0)*AA$10+ROUNDDOWN(計算!$AG$8/4,0)*AA$11))))/2,0))/2,0)/16,0))))</f>
        <v>118</v>
      </c>
      <c r="AD21" s="260"/>
      <c r="AE21" s="257">
        <f ca="1">IF(OR($H21="",AE$15=""),"",MAX(0,ROUNDDOWN((計算!$I9-ROUNDDOWN((計算!$AG$9+MAX(-(計算!$AG$9),MIN(200,(ROUNDDOWN(計算!$AG$9/2,0)*AE$10+ROUNDDOWN(計算!$AG$9/4,0)*AE$11))))/2,0))/2,0)-(1+ROUNDDOWN(ROUNDDOWN((計算!$I9-ROUNDDOWN((計算!$AG$9+MAX(-(計算!$AG$9),MIN(200,(ROUNDDOWN(計算!$AG$9/2,0)*AE$10+ROUNDDOWN(計算!$AG$9/4,0)*AE$11))))/2,0))/2,0)/16,0))))</f>
        <v>95</v>
      </c>
      <c r="AF21" s="258"/>
      <c r="AG21" s="259">
        <f ca="1">IF(OR($H21="",AE$15=""),"",MAX(1,ROUNDDOWN((計算!$I9-ROUNDDOWN((計算!$AG$9+MAX(-(計算!$AG$9),MIN(200,(ROUNDDOWN(計算!$AG$9/2,0)*AE$10+ROUNDDOWN(計算!$AG$9/4,0)*AE$11))))/2,0))/2,0)+(1+ROUNDDOWN(ROUNDDOWN((計算!$I9-ROUNDDOWN((計算!$AG$9+MAX(-(計算!$AG$9),MIN(200,(ROUNDDOWN(計算!$AG$9/2,0)*AE$10+ROUNDDOWN(計算!$AG$9/4,0)*AE$11))))/2,0))/2,0)/16,0))))</f>
        <v>109</v>
      </c>
      <c r="AH21" s="260"/>
      <c r="AI21" s="257">
        <f ca="1">IF(OR($H21="",AI$15=""),"",MAX(0,ROUNDDOWN((計算!$I9-ROUNDDOWN((計算!$AG$10+MAX(-(計算!$AG$10),MIN(200,(ROUNDDOWN(計算!$AG$10/2,0)*AI$10+ROUNDDOWN(計算!$AG$10/4,0)*AI$11))))/2,0))/2,0)-(1+ROUNDDOWN(ROUNDDOWN((計算!$I9-ROUNDDOWN((計算!$AG$10+MAX(-(計算!$AG$10),MIN(200,(ROUNDDOWN(計算!$AG$10/2,0)*AI$10+ROUNDDOWN(計算!$AG$10/4,0)*AI$11))))/2,0))/2,0)/16,0))))</f>
        <v>74</v>
      </c>
      <c r="AJ21" s="258"/>
      <c r="AK21" s="259">
        <f ca="1">IF(OR($H21="",AI$15=""),"",MAX(1,ROUNDDOWN((計算!$I9-ROUNDDOWN((計算!$AG$10+MAX(-(計算!$AG$10),MIN(200,(ROUNDDOWN(計算!$AG$10/2,0)*AI$10+ROUNDDOWN(計算!$AG$10/4,0)*AI$11))))/2,0))/2,0)+(1+ROUNDDOWN(ROUNDDOWN((計算!$I9-ROUNDDOWN((計算!$AG$10+MAX(-(計算!$AG$10),MIN(200,(ROUNDDOWN(計算!$AG$10/2,0)*AI$10+ROUNDDOWN(計算!$AG$10/4,0)*AI$11))))/2,0))/2,0)/16,0))))</f>
        <v>86</v>
      </c>
      <c r="AL21" s="260"/>
      <c r="AM21" s="257">
        <f ca="1">IF(OR($H21="",AM$15=""),"",MAX(0,ROUNDDOWN((計算!$I9-ROUNDDOWN((計算!$AG$11+MAX(-(計算!$AG$11),MIN(200,(ROUNDDOWN(計算!$AG$11/2,0)*AM$10+ROUNDDOWN(計算!$AG$11/4,0)*AM$11))))/2,0))/2,0)-(1+ROUNDDOWN(ROUNDDOWN((計算!$I9-ROUNDDOWN((計算!$AG$11+MAX(-(計算!$AG$11),MIN(200,(ROUNDDOWN(計算!$AG$11/2,0)*AM$10+ROUNDDOWN(計算!$AG$11/4,0)*AM$11))))/2,0))/2,0)/16,0))))</f>
        <v>45</v>
      </c>
      <c r="AN21" s="258"/>
      <c r="AO21" s="259">
        <f ca="1">IF(OR($H21="",AM$15=""),"",MAX(1,ROUNDDOWN((計算!$I9-ROUNDDOWN((計算!$AG$11+MAX(-(計算!$AG$11),MIN(200,(ROUNDDOWN(計算!$AG$11/2,0)*AM$10+ROUNDDOWN(計算!$AG$11/4,0)*AM$11))))/2,0))/2,0)+(1+ROUNDDOWN(ROUNDDOWN((計算!$I9-ROUNDDOWN((計算!$AG$11+MAX(-(計算!$AG$11),MIN(200,(ROUNDDOWN(計算!$AG$11/2,0)*AM$10+ROUNDDOWN(計算!$AG$11/4,0)*AM$11))))/2,0))/2,0)/16,0))))</f>
        <v>53</v>
      </c>
      <c r="AP21" s="260"/>
      <c r="AQ21" s="115">
        <f>IF(計算!F41="","",VLOOKUP(計算!F41,敵技,6,0))</f>
        <v>100</v>
      </c>
      <c r="AR21" s="115" t="str">
        <f>IF(計算!F41="","",VLOOKUP(計算!F41,敵技,7,0))</f>
        <v>単体</v>
      </c>
      <c r="AT21" s="99" t="str">
        <f t="shared" ca="1" si="17"/>
        <v>アモス</v>
      </c>
      <c r="AU21" s="108" t="str">
        <f>IF(計算!F25="","",VLOOKUP(計算!F25,味方技,4,0))</f>
        <v/>
      </c>
      <c r="AV21" s="108" t="str">
        <f>IF(計算!F25="","",VLOOKUP(計算!F25,味方技,5,0))</f>
        <v/>
      </c>
      <c r="AW21" s="257">
        <f ca="1">IF(OR($AT21="",AW$15=""),"",MAX(0,ROUNDDOWN((計算!$AF9-ROUNDDOWN((計算!$J$4+MAX(-(計算!$J$4),MIN(200,(ROUNDDOWN(計算!$J$4/2,0)*AW$10+ROUNDDOWN(計算!$J$4/4,0)*AW$11))))/2,0))/2,0)-(1+ROUNDDOWN(ROUNDDOWN((計算!$AF9-ROUNDDOWN((計算!$J$4+MAX(-(計算!$J$4),MIN(200,(ROUNDDOWN(計算!$J$4/2,0)*AW$10+ROUNDDOWN(計算!$J$4/4,0)*AW$11))))/2,0))/2,0)/16,0))))</f>
        <v>0</v>
      </c>
      <c r="AX21" s="258"/>
      <c r="AY21" s="278">
        <f ca="1">IF(OR($AT21="",AW$15=""),"",MAX(1,ROUNDDOWN((計算!$AF9-ROUNDDOWN((計算!$J$4+MAX(-(計算!$J$4),MIN(200,(ROUNDDOWN(計算!$J$4/2,0)*AY$10+ROUNDDOWN(計算!$J$4/4,0)*AY$11))))/2,0))/2,0)+(1+ROUNDDOWN(ROUNDDOWN((計算!$AF9-ROUNDDOWN((計算!$J$4+MAX(-(計算!$J$4),MIN(200,(ROUNDDOWN(計算!$J$4/2,0)*AY$10+ROUNDDOWN(計算!$J$4/4,0)*AY$11))))/2,0))/2,0)/16,0))))</f>
        <v>1</v>
      </c>
      <c r="AZ21" s="258"/>
      <c r="BA21" s="257">
        <f ca="1">IF(OR($AT21="",BA$15=""),"",MAX(0,ROUNDDOWN((計算!$AF9-ROUNDDOWN((計算!$J$5+MAX(-(計算!$J$5),MIN(200,(ROUNDDOWN(計算!$J$5/2,0)*BA$10+ROUNDDOWN(計算!$J$5/4,0)*BA$11))))/2,0))/2,0)-(1+ROUNDDOWN(ROUNDDOWN((計算!$AF9-ROUNDDOWN((計算!$J$5+MAX(-(計算!$J$5),MIN(200,(ROUNDDOWN(計算!$J$5/2,0)*BA$10+ROUNDDOWN(計算!$J$5/4,0)*BA$11))))/2,0))/2,0)/16,0))))</f>
        <v>0</v>
      </c>
      <c r="BB21" s="258"/>
      <c r="BC21" s="278">
        <f ca="1">IF(OR($AT21="",BA$15=""),"",MAX(1,ROUNDDOWN((計算!$AF9-ROUNDDOWN((計算!$J$5+MAX(-(計算!$J$5),MIN(200,(ROUNDDOWN(計算!$J$5/2,0)*BC$10+ROUNDDOWN(計算!$J$5/4,0)*BC$11))))/2,0))/2,0)+(1+ROUNDDOWN(ROUNDDOWN((計算!$AF9-ROUNDDOWN((計算!$J$5+MAX(-(計算!$J$5),MIN(200,(ROUNDDOWN(計算!$J$5/2,0)*BC$10+ROUNDDOWN(計算!$J$5/4,0)*BC$11))))/2,0))/2,0)/16,0))))</f>
        <v>1</v>
      </c>
      <c r="BD21" s="258"/>
      <c r="BE21" s="257">
        <f ca="1">IF(OR($AT21="",BE$15=""),"",MAX(0,ROUNDDOWN((計算!$AF9-ROUNDDOWN((計算!$J$6+MAX(-(計算!$J$6),MIN(200,(ROUNDDOWN(計算!$J$6/2,0)*BE$10+ROUNDDOWN(計算!$J$6/4,0)*BE$11))))/2,0))/2,0)-(1+ROUNDDOWN(ROUNDDOWN((計算!$AF9-ROUNDDOWN((計算!$J$6+MAX(-(計算!$J$6),MIN(200,(ROUNDDOWN(計算!$J$6/2,0)*BE$10+ROUNDDOWN(計算!$J$6/4,0)*BE$11))))/2,0))/2,0)/16,0))))</f>
        <v>0</v>
      </c>
      <c r="BF21" s="258"/>
      <c r="BG21" s="278">
        <f ca="1">IF(OR($AT21="",BE$15=""),"",MAX(1,ROUNDDOWN((計算!$AF9-ROUNDDOWN((計算!$J$6+MAX(-(計算!$J$6),MIN(200,(ROUNDDOWN(計算!$J$6/2,0)*BG$10+ROUNDDOWN(計算!$J$6/4,0)*BG$11))))/2,0))/2,0)+(1+ROUNDDOWN(ROUNDDOWN((計算!$AF9-ROUNDDOWN((計算!$J$6+MAX(-(計算!$J$6),MIN(200,(ROUNDDOWN(計算!$J$6/2,0)*BG$10+ROUNDDOWN(計算!$J$6/4,0)*BG$11))))/2,0))/2,0)/16,0))))</f>
        <v>1</v>
      </c>
      <c r="BH21" s="258"/>
      <c r="BI21" s="257">
        <f ca="1">IF(OR($AT21="",BI$15=""),"",MAX(0,ROUNDDOWN((計算!$AF9-ROUNDDOWN((計算!$J$7+MAX(-(計算!$J$7),MIN(200,(ROUNDDOWN(計算!$J$7/2,0)*BI$10+ROUNDDOWN(計算!$J$7/4,0)*BI$11))))/2,0))/2,0)-(1+ROUNDDOWN(ROUNDDOWN((計算!$AF9-ROUNDDOWN((計算!$J$7+MAX(-(計算!$J$7),MIN(200,(ROUNDDOWN(計算!$J$7/2,0)*BI$10+ROUNDDOWN(計算!$J$7/4,0)*BI$11))))/2,0))/2,0)/16,0))))</f>
        <v>0</v>
      </c>
      <c r="BJ21" s="258"/>
      <c r="BK21" s="278">
        <f ca="1">IF(OR($AT21="",BI$15=""),"",MAX(1,ROUNDDOWN((計算!$AF9-ROUNDDOWN((計算!$J$7+MAX(-(計算!$J$7),MIN(200,(ROUNDDOWN(計算!$J$7/2,0)*BK$10+ROUNDDOWN(計算!$J$7/4,0)*BK$11))))/2,0))/2,0)+(1+ROUNDDOWN(ROUNDDOWN((計算!$AF9-ROUNDDOWN((計算!$J$7+MAX(-(計算!$J$7),MIN(200,(ROUNDDOWN(計算!$J$7/2,0)*BK$10+ROUNDDOWN(計算!$J$7/4,0)*BK$11))))/2,0))/2,0)/16,0))))</f>
        <v>1</v>
      </c>
      <c r="BL21" s="258"/>
      <c r="BM21" s="257">
        <f ca="1">IF(OR($AT21="",BM$15=""),"",MAX(0,ROUNDDOWN((計算!$AF9-ROUNDDOWN((計算!$J$8+MAX(-(計算!$J$8),MIN(200,(ROUNDDOWN(計算!$J$8/2,0)*BM$10+ROUNDDOWN(計算!$J$8/4,0)*BM$11))))/2,0))/2,0)-(1+ROUNDDOWN(ROUNDDOWN((計算!$AF9-ROUNDDOWN((計算!$J$8+MAX(-(計算!$J$8),MIN(200,(ROUNDDOWN(計算!$J$8/2,0)*BM$10+ROUNDDOWN(計算!$J$8/4,0)*BM$11))))/2,0))/2,0)/16,0))))</f>
        <v>0</v>
      </c>
      <c r="BN21" s="258"/>
      <c r="BO21" s="278">
        <f ca="1">IF(OR($AT21="",BM$15=""),"",MAX(1,ROUNDDOWN((計算!$AF9-ROUNDDOWN((計算!$J$8+MAX(-(計算!$J$8),MIN(200,(ROUNDDOWN(計算!$J$8/2,0)*BO$10+ROUNDDOWN(計算!$J$8/4,0)*BO$11))))/2,0))/2,0)+(1+ROUNDDOWN(ROUNDDOWN((計算!$AF9-ROUNDDOWN((計算!$J$8+MAX(-(計算!$J$8),MIN(200,(ROUNDDOWN(計算!$J$8/2,0)*BO$10+ROUNDDOWN(計算!$J$8/4,0)*BO$11))))/2,0))/2,0)/16,0))))</f>
        <v>1</v>
      </c>
      <c r="BP21" s="258"/>
      <c r="BQ21" s="257">
        <f ca="1">IF(OR($AT21="",BQ$15=""),"",MAX(0,ROUNDDOWN((計算!$AF9-ROUNDDOWN((計算!$J$9+MAX(-(計算!$J$9),MIN(200,(ROUNDDOWN(計算!$J$9/2,0)*BQ$10+ROUNDDOWN(計算!$J$9/4,0)*BQ$11))))/2,0))/2,0)-(1+ROUNDDOWN(ROUNDDOWN((計算!$AF9-ROUNDDOWN((計算!$J$9+MAX(-(計算!$J$9),MIN(200,(ROUNDDOWN(計算!$J$9/2,0)*BQ$10+ROUNDDOWN(計算!$J$9/4,0)*BQ$11))))/2,0))/2,0)/16,0))))</f>
        <v>0</v>
      </c>
      <c r="BR21" s="258"/>
      <c r="BS21" s="278">
        <f ca="1">IF(OR($AT21="",BQ$15=""),"",MAX(1,ROUNDDOWN((計算!$AF9-ROUNDDOWN((計算!$J$9+MAX(-(計算!$J$9),MIN(200,(ROUNDDOWN(計算!$J$9/2,0)*BS$10+ROUNDDOWN(計算!$J$9/4,0)*BS$11))))/2,0))/2,0)+(1+ROUNDDOWN(ROUNDDOWN((計算!$AF9-ROUNDDOWN((計算!$J$9+MAX(-(計算!$J$9),MIN(200,(ROUNDDOWN(計算!$J$9/2,0)*BS$10+ROUNDDOWN(計算!$J$9/4,0)*BS$11))))/2,0))/2,0)/16,0))))</f>
        <v>1</v>
      </c>
      <c r="BT21" s="258"/>
      <c r="BU21" s="257">
        <f ca="1">IF(OR($AT21="",BU$15=""),"",MAX(0,ROUNDDOWN((計算!$AF9-ROUNDDOWN((計算!$J$10+MAX(-(計算!$J$10),MIN(200,(ROUNDDOWN(計算!$J$10/2,0)*BU$10+ROUNDDOWN(計算!$J$10/4,0)*BU$11))))/2,0))/2,0)-(1+ROUNDDOWN(ROUNDDOWN((計算!$AF9-ROUNDDOWN((計算!$J$10+MAX(-(計算!$J$10),MIN(200,(ROUNDDOWN(計算!$J$10/2,0)*BU$10+ROUNDDOWN(計算!$J$10/4,0)*BU$11))))/2,0))/2,0)/16,0))))</f>
        <v>0</v>
      </c>
      <c r="BV21" s="258"/>
      <c r="BW21" s="278">
        <f ca="1">IF(OR($AT21="",BU$15=""),"",MAX(1,ROUNDDOWN((計算!$AF9-ROUNDDOWN((計算!$J$10+MAX(-(計算!$J$10),MIN(200,(ROUNDDOWN(計算!$J$10/2,0)*BW$10+ROUNDDOWN(計算!$J$10/4,0)*BW$11))))/2,0))/2,0)+(1+ROUNDDOWN(ROUNDDOWN((計算!$AF9-ROUNDDOWN((計算!$J$10+MAX(-(計算!$J$10),MIN(200,(ROUNDDOWN(計算!$J$10/2,0)*BW$10+ROUNDDOWN(計算!$J$10/4,0)*BW$11))))/2,0))/2,0)/16,0))))</f>
        <v>1</v>
      </c>
      <c r="BX21" s="258"/>
      <c r="BY21" s="257">
        <f ca="1">IF(OR($AT21="",BY$15=""),"",MAX(0,ROUNDDOWN((計算!$AF9-ROUNDDOWN((計算!$J$11+MAX(-(計算!$J$11),MIN(200,(ROUNDDOWN(計算!$J$11/2,0)*BY$10+ROUNDDOWN(計算!$J$11/4,0)*BY$11))))/2,0))/2,0)-(1+ROUNDDOWN(ROUNDDOWN((計算!$AF9-ROUNDDOWN((計算!$J$11+MAX(-(計算!$J$11),MIN(200,(ROUNDDOWN(計算!$J$11/2,0)*BY$10+ROUNDDOWN(計算!$J$11/4,0)*BY$11))))/2,0))/2,0)/16,0))))</f>
        <v>0</v>
      </c>
      <c r="BZ21" s="258"/>
      <c r="CA21" s="278">
        <f ca="1">IF(OR($AT21="",BY$15=""),"",MAX(1,ROUNDDOWN((計算!$AF9-ROUNDDOWN((計算!$J$11+MAX(-(計算!$J$11),MIN(200,(ROUNDDOWN(計算!$J$11/2,0)*CA$10+ROUNDDOWN(計算!$J$11/4,0)*CA$11))))/2,0))/2,0)+(1+ROUNDDOWN(ROUNDDOWN((計算!$AF9-ROUNDDOWN((計算!$J$11+MAX(-(計算!$J$11),MIN(200,(ROUNDDOWN(計算!$J$11/2,0)*CA$10+ROUNDDOWN(計算!$J$11/4,0)*CA$11))))/2,0))/2,0)/16,0))))</f>
        <v>1</v>
      </c>
      <c r="CB21" s="258"/>
      <c r="CC21" s="115" t="str">
        <f>IF(計算!F25="","",VLOOKUP(計算!F25,味方技,6,0))</f>
        <v/>
      </c>
      <c r="CD21" s="115" t="str">
        <f>IF(計算!F25="","",VLOOKUP(計算!F25,味方技,7,0))</f>
        <v/>
      </c>
    </row>
    <row r="22" spans="2:82" x14ac:dyDescent="0.15">
      <c r="B22" s="9" t="str">
        <f t="shared" ca="1" si="0"/>
        <v>ブラスト</v>
      </c>
      <c r="C22" s="9">
        <f t="shared" ca="1" si="1"/>
        <v>17</v>
      </c>
      <c r="D22" s="9">
        <v>131</v>
      </c>
      <c r="F22" s="9">
        <v>4</v>
      </c>
      <c r="H22" s="98" t="str">
        <f t="shared" ca="1" si="16"/>
        <v>みぎて</v>
      </c>
      <c r="I22" s="108" t="str">
        <f>IF(計算!F42="","",VLOOKUP(計算!F42,敵技,4,0))</f>
        <v>叩</v>
      </c>
      <c r="J22" s="106" t="str">
        <f>IF(計算!F42="","",VLOOKUP(計算!F42,敵技,5,0))</f>
        <v>物理</v>
      </c>
      <c r="K22" s="257">
        <f ca="1">IF(OR($H22="",K$15=""),"",MAX(0,ROUNDDOWN((計算!$I10-ROUNDDOWN((計算!$AG$4+MAX(-(計算!$AG$4),MIN(200,(ROUNDDOWN(計算!$AG$4/2,0)*K$10+ROUNDDOWN(計算!$AG$4/4,0)*K$11))))/2,0))/2,0)-(1+ROUNDDOWN(ROUNDDOWN((計算!$I10-ROUNDDOWN((計算!$AG$4+MAX(-(計算!$AG$4),MIN(200,(ROUNDDOWN(計算!$AG$4/2,0)*K$10+ROUNDDOWN(計算!$AG$4/4,0)*K$11))))/2,0))/2,0)/16,0))))</f>
        <v>104</v>
      </c>
      <c r="L22" s="258"/>
      <c r="M22" s="259">
        <f ca="1">IF(OR($H22="",K$15=""),"",MAX(1,ROUNDDOWN((計算!$I10-ROUNDDOWN((計算!$AG$4+MAX(-(計算!$AG$4),MIN(200,(ROUNDDOWN(計算!$AG$4/2,0)*K$10+ROUNDDOWN(計算!$AG$4/4,0)*K$11))))/2,0))/2,0)+(1+ROUNDDOWN(ROUNDDOWN((計算!$I10-ROUNDDOWN((計算!$AG$4+MAX(-(計算!$AG$4),MIN(200,(ROUNDDOWN(計算!$AG$4/2,0)*K$10+ROUNDDOWN(計算!$AG$4/4,0)*K$11))))/2,0))/2,0)/16,0))))</f>
        <v>118</v>
      </c>
      <c r="N22" s="260"/>
      <c r="O22" s="257">
        <f ca="1">IF(OR($H22="",O$15=""),"",MAX(0,ROUNDDOWN((計算!$I10-ROUNDDOWN((計算!$AG$5+MAX(-(計算!$AG$5),MIN(200,(ROUNDDOWN(計算!$AG$5/2,0)*O$10+ROUNDDOWN(計算!$AG$5/4,0)*O$11))))/2,0))/2,0)-(1+ROUNDDOWN(ROUNDDOWN((計算!$I10-ROUNDDOWN((計算!$AG$5+MAX(-(計算!$AG$5),MIN(200,(ROUNDDOWN(計算!$AG$5/2,0)*O$10+ROUNDDOWN(計算!$AG$5/4,0)*O$11))))/2,0))/2,0)/16,0))))</f>
        <v>89</v>
      </c>
      <c r="P22" s="258"/>
      <c r="Q22" s="259">
        <f ca="1">IF(OR($H22="",O$15=""),"",MAX(1,ROUNDDOWN((計算!$I10-ROUNDDOWN((計算!$AG$5+MAX(-(計算!$AG$5),MIN(200,(ROUNDDOWN(計算!$AG$5/2,0)*O$10+ROUNDDOWN(計算!$AG$5/4,0)*O$11))))/2,0))/2,0)+(1+ROUNDDOWN(ROUNDDOWN((計算!$I10-ROUNDDOWN((計算!$AG$5+MAX(-(計算!$AG$5),MIN(200,(ROUNDDOWN(計算!$AG$5/2,0)*O$10+ROUNDDOWN(計算!$AG$5/4,0)*O$11))))/2,0))/2,0)/16,0))))</f>
        <v>103</v>
      </c>
      <c r="R22" s="260"/>
      <c r="S22" s="257">
        <f ca="1">IF(OR($H22="",S$15=""),"",MAX(0,ROUNDDOWN((計算!$I10-ROUNDDOWN((計算!$AG$6+MAX(-(計算!$AG$6),MIN(200,(ROUNDDOWN(計算!$AG$6/2,0)*S$10+ROUNDDOWN(計算!$AG$6/4,0)*S$11))))/2,0))/2,0)-(1+ROUNDDOWN(ROUNDDOWN((計算!$I10-ROUNDDOWN((計算!$AG$6+MAX(-(計算!$AG$6),MIN(200,(ROUNDDOWN(計算!$AG$6/2,0)*S$10+ROUNDDOWN(計算!$AG$6/4,0)*S$11))))/2,0))/2,0)/16,0))))</f>
        <v>129</v>
      </c>
      <c r="T22" s="258"/>
      <c r="U22" s="259">
        <f ca="1">IF(OR($H22="",S$15=""),"",MAX(1,ROUNDDOWN((計算!$I10-ROUNDDOWN((計算!$AG$6+MAX(-(計算!$AG$6),MIN(200,(ROUNDDOWN(計算!$AG$6/2,0)*S$10+ROUNDDOWN(計算!$AG$6/4,0)*S$11))))/2,0))/2,0)+(1+ROUNDDOWN(ROUNDDOWN((計算!$I10-ROUNDDOWN((計算!$AG$6+MAX(-(計算!$AG$6),MIN(200,(ROUNDDOWN(計算!$AG$6/2,0)*S$10+ROUNDDOWN(計算!$AG$6/4,0)*S$11))))/2,0))/2,0)/16,0))))</f>
        <v>147</v>
      </c>
      <c r="V22" s="260"/>
      <c r="W22" s="257">
        <f ca="1">IF(OR($H22="",W$15=""),"",MAX(0,ROUNDDOWN((計算!$I10-ROUNDDOWN((計算!$AG$7+MAX(-(計算!$AG$7),MIN(200,(ROUNDDOWN(計算!$AG$7/2,0)*W$10+ROUNDDOWN(計算!$AG$7/4,0)*W$11))))/2,0))/2,0)-(1+ROUNDDOWN(ROUNDDOWN((計算!$I10-ROUNDDOWN((計算!$AG$7+MAX(-(計算!$AG$7),MIN(200,(ROUNDDOWN(計算!$AG$7/2,0)*W$10+ROUNDDOWN(計算!$AG$7/4,0)*W$11))))/2,0))/2,0)/16,0))))</f>
        <v>142</v>
      </c>
      <c r="X22" s="258"/>
      <c r="Y22" s="259">
        <f ca="1">IF(OR($H22="",W$15=""),"",MAX(1,ROUNDDOWN((計算!$I10-ROUNDDOWN((計算!$AG$7+MAX(-(計算!$AG$7),MIN(200,(ROUNDDOWN(計算!$AG$7/2,0)*W$10+ROUNDDOWN(計算!$AG$7/4,0)*W$11))))/2,0))/2,0)+(1+ROUNDDOWN(ROUNDDOWN((計算!$I10-ROUNDDOWN((計算!$AG$7+MAX(-(計算!$AG$7),MIN(200,(ROUNDDOWN(計算!$AG$7/2,0)*W$10+ROUNDDOWN(計算!$AG$7/4,0)*W$11))))/2,0))/2,0)/16,0))))</f>
        <v>162</v>
      </c>
      <c r="Z22" s="260"/>
      <c r="AA22" s="257">
        <f ca="1">IF(OR($H22="",AA$15=""),"",MAX(0,ROUNDDOWN((計算!$I10-ROUNDDOWN((計算!$AG$8+MAX(-(計算!$AG$8),MIN(200,(ROUNDDOWN(計算!$AG$8/2,0)*AA$10+ROUNDDOWN(計算!$AG$8/4,0)*AA$11))))/2,0))/2,0)-(1+ROUNDDOWN(ROUNDDOWN((計算!$I10-ROUNDDOWN((計算!$AG$8+MAX(-(計算!$AG$8),MIN(200,(ROUNDDOWN(計算!$AG$8/2,0)*AA$10+ROUNDDOWN(計算!$AG$8/4,0)*AA$11))))/2,0))/2,0)/16,0))))</f>
        <v>132</v>
      </c>
      <c r="AB22" s="258"/>
      <c r="AC22" s="259">
        <f ca="1">IF(OR($H22="",AA$15=""),"",MAX(1,ROUNDDOWN((計算!$I10-ROUNDDOWN((計算!$AG$8+MAX(-(計算!$AG$8),MIN(200,(ROUNDDOWN(計算!$AG$8/2,0)*AA$10+ROUNDDOWN(計算!$AG$8/4,0)*AA$11))))/2,0))/2,0)+(1+ROUNDDOWN(ROUNDDOWN((計算!$I10-ROUNDDOWN((計算!$AG$8+MAX(-(計算!$AG$8),MIN(200,(ROUNDDOWN(計算!$AG$8/2,0)*AA$10+ROUNDDOWN(計算!$AG$8/4,0)*AA$11))))/2,0))/2,0)/16,0))))</f>
        <v>150</v>
      </c>
      <c r="AD22" s="260"/>
      <c r="AE22" s="257">
        <f ca="1">IF(OR($H22="",AE$15=""),"",MAX(0,ROUNDDOWN((計算!$I10-ROUNDDOWN((計算!$AG$9+MAX(-(計算!$AG$9),MIN(200,(ROUNDDOWN(計算!$AG$9/2,0)*AE$10+ROUNDDOWN(計算!$AG$9/4,0)*AE$11))))/2,0))/2,0)-(1+ROUNDDOWN(ROUNDDOWN((計算!$I10-ROUNDDOWN((計算!$AG$9+MAX(-(計算!$AG$9),MIN(200,(ROUNDDOWN(計算!$AG$9/2,0)*AE$10+ROUNDDOWN(計算!$AG$9/4,0)*AE$11))))/2,0))/2,0)/16,0))))</f>
        <v>123</v>
      </c>
      <c r="AF22" s="258"/>
      <c r="AG22" s="259">
        <f ca="1">IF(OR($H22="",AE$15=""),"",MAX(1,ROUNDDOWN((計算!$I10-ROUNDDOWN((計算!$AG$9+MAX(-(計算!$AG$9),MIN(200,(ROUNDDOWN(計算!$AG$9/2,0)*AE$10+ROUNDDOWN(計算!$AG$9/4,0)*AE$11))))/2,0))/2,0)+(1+ROUNDDOWN(ROUNDDOWN((計算!$I10-ROUNDDOWN((計算!$AG$9+MAX(-(計算!$AG$9),MIN(200,(ROUNDDOWN(計算!$AG$9/2,0)*AE$10+ROUNDDOWN(計算!$AG$9/4,0)*AE$11))))/2,0))/2,0)/16,0))))</f>
        <v>141</v>
      </c>
      <c r="AH22" s="260"/>
      <c r="AI22" s="257">
        <f ca="1">IF(OR($H22="",AI$15=""),"",MAX(0,ROUNDDOWN((計算!$I10-ROUNDDOWN((計算!$AG$10+MAX(-(計算!$AG$10),MIN(200,(ROUNDDOWN(計算!$AG$10/2,0)*AI$10+ROUNDDOWN(計算!$AG$10/4,0)*AI$11))))/2,0))/2,0)-(1+ROUNDDOWN(ROUNDDOWN((計算!$I10-ROUNDDOWN((計算!$AG$10+MAX(-(計算!$AG$10),MIN(200,(ROUNDDOWN(計算!$AG$10/2,0)*AI$10+ROUNDDOWN(計算!$AG$10/4,0)*AI$11))))/2,0))/2,0)/16,0))))</f>
        <v>103</v>
      </c>
      <c r="AJ22" s="258"/>
      <c r="AK22" s="259">
        <f ca="1">IF(OR($H22="",AI$15=""),"",MAX(1,ROUNDDOWN((計算!$I10-ROUNDDOWN((計算!$AG$10+MAX(-(計算!$AG$10),MIN(200,(ROUNDDOWN(計算!$AG$10/2,0)*AI$10+ROUNDDOWN(計算!$AG$10/4,0)*AI$11))))/2,0))/2,0)+(1+ROUNDDOWN(ROUNDDOWN((計算!$I10-ROUNDDOWN((計算!$AG$10+MAX(-(計算!$AG$10),MIN(200,(ROUNDDOWN(計算!$AG$10/2,0)*AI$10+ROUNDDOWN(計算!$AG$10/4,0)*AI$11))))/2,0))/2,0)/16,0))))</f>
        <v>117</v>
      </c>
      <c r="AL22" s="260"/>
      <c r="AM22" s="257">
        <f ca="1">IF(OR($H22="",AM$15=""),"",MAX(0,ROUNDDOWN((計算!$I10-ROUNDDOWN((計算!$AG$11+MAX(-(計算!$AG$11),MIN(200,(ROUNDDOWN(計算!$AG$11/2,0)*AM$10+ROUNDDOWN(計算!$AG$11/4,0)*AM$11))))/2,0))/2,0)-(1+ROUNDDOWN(ROUNDDOWN((計算!$I10-ROUNDDOWN((計算!$AG$11+MAX(-(計算!$AG$11),MIN(200,(ROUNDDOWN(計算!$AG$11/2,0)*AM$10+ROUNDDOWN(計算!$AG$11/4,0)*AM$11))))/2,0))/2,0)/16,0))))</f>
        <v>74</v>
      </c>
      <c r="AN22" s="258"/>
      <c r="AO22" s="259">
        <f ca="1">IF(OR($H22="",AM$15=""),"",MAX(1,ROUNDDOWN((計算!$I10-ROUNDDOWN((計算!$AG$11+MAX(-(計算!$AG$11),MIN(200,(ROUNDDOWN(計算!$AG$11/2,0)*AM$10+ROUNDDOWN(計算!$AG$11/4,0)*AM$11))))/2,0))/2,0)+(1+ROUNDDOWN(ROUNDDOWN((計算!$I10-ROUNDDOWN((計算!$AG$11+MAX(-(計算!$AG$11),MIN(200,(ROUNDDOWN(計算!$AG$11/2,0)*AM$10+ROUNDDOWN(計算!$AG$11/4,0)*AM$11))))/2,0))/2,0)/16,0))))</f>
        <v>84</v>
      </c>
      <c r="AP22" s="260"/>
      <c r="AQ22" s="115">
        <f>IF(計算!F42="","",VLOOKUP(計算!F42,敵技,6,0))</f>
        <v>100</v>
      </c>
      <c r="AR22" s="115" t="str">
        <f>IF(計算!F42="","",VLOOKUP(計算!F42,敵技,7,0))</f>
        <v>単体</v>
      </c>
      <c r="AT22" s="99" t="str">
        <f t="shared" ca="1" si="17"/>
        <v>テリー</v>
      </c>
      <c r="AU22" s="108" t="str">
        <f>IF(計算!F26="","",VLOOKUP(計算!F26,味方技,4,0))</f>
        <v>デ</v>
      </c>
      <c r="AV22" s="108" t="str">
        <f>IF(計算!F26="","",VLOOKUP(計算!F26,味方技,5,0))</f>
        <v>中</v>
      </c>
      <c r="AW22" s="257">
        <f ca="1">IF(OR($AT22="",AW$15=""),"",MAX(0,ROUNDDOWN((計算!$AF10-ROUNDDOWN((計算!$J$4+MAX(-(計算!$J$4),MIN(200,(ROUNDDOWN(計算!$J$4/2,0)*AW$10+ROUNDDOWN(計算!$J$4/4,0)*AW$11))))/2,0))/2,0)-(1+ROUNDDOWN(ROUNDDOWN((計算!$AF10-ROUNDDOWN((計算!$J$4+MAX(-(計算!$J$4),MIN(200,(ROUNDDOWN(計算!$J$4/2,0)*AW$10+ROUNDDOWN(計算!$J$4/4,0)*AW$11))))/2,0))/2,0)/16,0))))</f>
        <v>6</v>
      </c>
      <c r="AX22" s="258"/>
      <c r="AY22" s="278">
        <f ca="1">IF(OR($AT22="",AW$15=""),"",MAX(1,ROUNDDOWN((計算!$AF10-ROUNDDOWN((計算!$J$4+MAX(-(計算!$J$4),MIN(200,(ROUNDDOWN(計算!$J$4/2,0)*AY$10+ROUNDDOWN(計算!$J$4/4,0)*AY$11))))/2,0))/2,0)+(1+ROUNDDOWN(ROUNDDOWN((計算!$AF10-ROUNDDOWN((計算!$J$4+MAX(-(計算!$J$4),MIN(200,(ROUNDDOWN(計算!$J$4/2,0)*AY$10+ROUNDDOWN(計算!$J$4/4,0)*AY$11))))/2,0))/2,0)/16,0))))</f>
        <v>8</v>
      </c>
      <c r="AZ22" s="258"/>
      <c r="BA22" s="257">
        <f ca="1">IF(OR($AT22="",BA$15=""),"",MAX(0,ROUNDDOWN((計算!$AF10-ROUNDDOWN((計算!$J$5+MAX(-(計算!$J$5),MIN(200,(ROUNDDOWN(計算!$J$5/2,0)*BA$10+ROUNDDOWN(計算!$J$5/4,0)*BA$11))))/2,0))/2,0)-(1+ROUNDDOWN(ROUNDDOWN((計算!$AF10-ROUNDDOWN((計算!$J$5+MAX(-(計算!$J$5),MIN(200,(ROUNDDOWN(計算!$J$5/2,0)*BA$10+ROUNDDOWN(計算!$J$5/4,0)*BA$11))))/2,0))/2,0)/16,0))))</f>
        <v>6</v>
      </c>
      <c r="BB22" s="258"/>
      <c r="BC22" s="278">
        <f ca="1">IF(OR($AT22="",BA$15=""),"",MAX(1,ROUNDDOWN((計算!$AF10-ROUNDDOWN((計算!$J$5+MAX(-(計算!$J$5),MIN(200,(ROUNDDOWN(計算!$J$5/2,0)*BC$10+ROUNDDOWN(計算!$J$5/4,0)*BC$11))))/2,0))/2,0)+(1+ROUNDDOWN(ROUNDDOWN((計算!$AF10-ROUNDDOWN((計算!$J$5+MAX(-(計算!$J$5),MIN(200,(ROUNDDOWN(計算!$J$5/2,0)*BC$10+ROUNDDOWN(計算!$J$5/4,0)*BC$11))))/2,0))/2,0)/16,0))))</f>
        <v>8</v>
      </c>
      <c r="BD22" s="258"/>
      <c r="BE22" s="257">
        <f ca="1">IF(OR($AT22="",BE$15=""),"",MAX(0,ROUNDDOWN((計算!$AF10-ROUNDDOWN((計算!$J$6+MAX(-(計算!$J$6),MIN(200,(ROUNDDOWN(計算!$J$6/2,0)*BE$10+ROUNDDOWN(計算!$J$6/4,0)*BE$11))))/2,0))/2,0)-(1+ROUNDDOWN(ROUNDDOWN((計算!$AF10-ROUNDDOWN((計算!$J$6+MAX(-(計算!$J$6),MIN(200,(ROUNDDOWN(計算!$J$6/2,0)*BE$10+ROUNDDOWN(計算!$J$6/4,0)*BE$11))))/2,0))/2,0)/16,0))))</f>
        <v>6</v>
      </c>
      <c r="BF22" s="258"/>
      <c r="BG22" s="278">
        <f ca="1">IF(OR($AT22="",BE$15=""),"",MAX(1,ROUNDDOWN((計算!$AF10-ROUNDDOWN((計算!$J$6+MAX(-(計算!$J$6),MIN(200,(ROUNDDOWN(計算!$J$6/2,0)*BG$10+ROUNDDOWN(計算!$J$6/4,0)*BG$11))))/2,0))/2,0)+(1+ROUNDDOWN(ROUNDDOWN((計算!$AF10-ROUNDDOWN((計算!$J$6+MAX(-(計算!$J$6),MIN(200,(ROUNDDOWN(計算!$J$6/2,0)*BG$10+ROUNDDOWN(計算!$J$6/4,0)*BG$11))))/2,0))/2,0)/16,0))))</f>
        <v>8</v>
      </c>
      <c r="BH22" s="258"/>
      <c r="BI22" s="257">
        <f ca="1">IF(OR($AT22="",BI$15=""),"",MAX(0,ROUNDDOWN((計算!$AF10-ROUNDDOWN((計算!$J$7+MAX(-(計算!$J$7),MIN(200,(ROUNDDOWN(計算!$J$7/2,0)*BI$10+ROUNDDOWN(計算!$J$7/4,0)*BI$11))))/2,0))/2,0)-(1+ROUNDDOWN(ROUNDDOWN((計算!$AF10-ROUNDDOWN((計算!$J$7+MAX(-(計算!$J$7),MIN(200,(ROUNDDOWN(計算!$J$7/2,0)*BI$10+ROUNDDOWN(計算!$J$7/4,0)*BI$11))))/2,0))/2,0)/16,0))))</f>
        <v>6</v>
      </c>
      <c r="BJ22" s="258"/>
      <c r="BK22" s="278">
        <f ca="1">IF(OR($AT22="",BI$15=""),"",MAX(1,ROUNDDOWN((計算!$AF10-ROUNDDOWN((計算!$J$7+MAX(-(計算!$J$7),MIN(200,(ROUNDDOWN(計算!$J$7/2,0)*BK$10+ROUNDDOWN(計算!$J$7/4,0)*BK$11))))/2,0))/2,0)+(1+ROUNDDOWN(ROUNDDOWN((計算!$AF10-ROUNDDOWN((計算!$J$7+MAX(-(計算!$J$7),MIN(200,(ROUNDDOWN(計算!$J$7/2,0)*BK$10+ROUNDDOWN(計算!$J$7/4,0)*BK$11))))/2,0))/2,0)/16,0))))</f>
        <v>8</v>
      </c>
      <c r="BL22" s="258"/>
      <c r="BM22" s="257">
        <f ca="1">IF(OR($AT22="",BM$15=""),"",MAX(0,ROUNDDOWN((計算!$AF10-ROUNDDOWN((計算!$J$8+MAX(-(計算!$J$8),MIN(200,(ROUNDDOWN(計算!$J$8/2,0)*BM$10+ROUNDDOWN(計算!$J$8/4,0)*BM$11))))/2,0))/2,0)-(1+ROUNDDOWN(ROUNDDOWN((計算!$AF10-ROUNDDOWN((計算!$J$8+MAX(-(計算!$J$8),MIN(200,(ROUNDDOWN(計算!$J$8/2,0)*BM$10+ROUNDDOWN(計算!$J$8/4,0)*BM$11))))/2,0))/2,0)/16,0))))</f>
        <v>6</v>
      </c>
      <c r="BN22" s="258"/>
      <c r="BO22" s="278">
        <f ca="1">IF(OR($AT22="",BM$15=""),"",MAX(1,ROUNDDOWN((計算!$AF10-ROUNDDOWN((計算!$J$8+MAX(-(計算!$J$8),MIN(200,(ROUNDDOWN(計算!$J$8/2,0)*BO$10+ROUNDDOWN(計算!$J$8/4,0)*BO$11))))/2,0))/2,0)+(1+ROUNDDOWN(ROUNDDOWN((計算!$AF10-ROUNDDOWN((計算!$J$8+MAX(-(計算!$J$8),MIN(200,(ROUNDDOWN(計算!$J$8/2,0)*BO$10+ROUNDDOWN(計算!$J$8/4,0)*BO$11))))/2,0))/2,0)/16,0))))</f>
        <v>8</v>
      </c>
      <c r="BP22" s="258"/>
      <c r="BQ22" s="257">
        <f ca="1">IF(OR($AT22="",BQ$15=""),"",MAX(0,ROUNDDOWN((計算!$AF10-ROUNDDOWN((計算!$J$9+MAX(-(計算!$J$9),MIN(200,(ROUNDDOWN(計算!$J$9/2,0)*BQ$10+ROUNDDOWN(計算!$J$9/4,0)*BQ$11))))/2,0))/2,0)-(1+ROUNDDOWN(ROUNDDOWN((計算!$AF10-ROUNDDOWN((計算!$J$9+MAX(-(計算!$J$9),MIN(200,(ROUNDDOWN(計算!$J$9/2,0)*BQ$10+ROUNDDOWN(計算!$J$9/4,0)*BQ$11))))/2,0))/2,0)/16,0))))</f>
        <v>44</v>
      </c>
      <c r="BR22" s="258"/>
      <c r="BS22" s="278">
        <f ca="1">IF(OR($AT22="",BQ$15=""),"",MAX(1,ROUNDDOWN((計算!$AF10-ROUNDDOWN((計算!$J$9+MAX(-(計算!$J$9),MIN(200,(ROUNDDOWN(計算!$J$9/2,0)*BS$10+ROUNDDOWN(計算!$J$9/4,0)*BS$11))))/2,0))/2,0)+(1+ROUNDDOWN(ROUNDDOWN((計算!$AF10-ROUNDDOWN((計算!$J$9+MAX(-(計算!$J$9),MIN(200,(ROUNDDOWN(計算!$J$9/2,0)*BS$10+ROUNDDOWN(計算!$J$9/4,0)*BS$11))))/2,0))/2,0)/16,0))))</f>
        <v>50</v>
      </c>
      <c r="BT22" s="258"/>
      <c r="BU22" s="257">
        <f ca="1">IF(OR($AT22="",BU$15=""),"",MAX(0,ROUNDDOWN((計算!$AF10-ROUNDDOWN((計算!$J$10+MAX(-(計算!$J$10),MIN(200,(ROUNDDOWN(計算!$J$10/2,0)*BU$10+ROUNDDOWN(計算!$J$10/4,0)*BU$11))))/2,0))/2,0)-(1+ROUNDDOWN(ROUNDDOWN((計算!$AF10-ROUNDDOWN((計算!$J$10+MAX(-(計算!$J$10),MIN(200,(ROUNDDOWN(計算!$J$10/2,0)*BU$10+ROUNDDOWN(計算!$J$10/4,0)*BU$11))))/2,0))/2,0)/16,0))))</f>
        <v>44</v>
      </c>
      <c r="BV22" s="258"/>
      <c r="BW22" s="278">
        <f ca="1">IF(OR($AT22="",BU$15=""),"",MAX(1,ROUNDDOWN((計算!$AF10-ROUNDDOWN((計算!$J$10+MAX(-(計算!$J$10),MIN(200,(ROUNDDOWN(計算!$J$10/2,0)*BW$10+ROUNDDOWN(計算!$J$10/4,0)*BW$11))))/2,0))/2,0)+(1+ROUNDDOWN(ROUNDDOWN((計算!$AF10-ROUNDDOWN((計算!$J$10+MAX(-(計算!$J$10),MIN(200,(ROUNDDOWN(計算!$J$10/2,0)*BW$10+ROUNDDOWN(計算!$J$10/4,0)*BW$11))))/2,0))/2,0)/16,0))))</f>
        <v>50</v>
      </c>
      <c r="BX22" s="258"/>
      <c r="BY22" s="257">
        <f ca="1">IF(OR($AT22="",BY$15=""),"",MAX(0,ROUNDDOWN((計算!$AF10-ROUNDDOWN((計算!$J$11+MAX(-(計算!$J$11),MIN(200,(ROUNDDOWN(計算!$J$11/2,0)*BY$10+ROUNDDOWN(計算!$J$11/4,0)*BY$11))))/2,0))/2,0)-(1+ROUNDDOWN(ROUNDDOWN((計算!$AF10-ROUNDDOWN((計算!$J$11+MAX(-(計算!$J$11),MIN(200,(ROUNDDOWN(計算!$J$11/2,0)*BY$10+ROUNDDOWN(計算!$J$11/4,0)*BY$11))))/2,0))/2,0)/16,0))))</f>
        <v>44</v>
      </c>
      <c r="BZ22" s="258"/>
      <c r="CA22" s="278">
        <f ca="1">IF(OR($AT22="",BY$15=""),"",MAX(1,ROUNDDOWN((計算!$AF10-ROUNDDOWN((計算!$J$11+MAX(-(計算!$J$11),MIN(200,(ROUNDDOWN(計算!$J$11/2,0)*CA$10+ROUNDDOWN(計算!$J$11/4,0)*CA$11))))/2,0))/2,0)+(1+ROUNDDOWN(ROUNDDOWN((計算!$AF10-ROUNDDOWN((計算!$J$11+MAX(-(計算!$J$11),MIN(200,(ROUNDDOWN(計算!$J$11/2,0)*CA$10+ROUNDDOWN(計算!$J$11/4,0)*CA$11))))/2,0))/2,0)/16,0))))</f>
        <v>50</v>
      </c>
      <c r="CB22" s="258"/>
      <c r="CC22" s="115" t="str">
        <f>IF(計算!F26="","",VLOOKUP(計算!F26,味方技,6,0))</f>
        <v>なし</v>
      </c>
      <c r="CD22" s="115" t="str">
        <f>IF(計算!F26="","",VLOOKUP(計算!F26,味方技,7,0))</f>
        <v>全体</v>
      </c>
    </row>
    <row r="23" spans="2:82" x14ac:dyDescent="0.15">
      <c r="B23" s="9" t="str">
        <f t="shared" ca="1" si="0"/>
        <v>旅の洞窟</v>
      </c>
      <c r="C23" s="9">
        <f t="shared" ca="1" si="1"/>
        <v>18</v>
      </c>
      <c r="D23" s="9">
        <v>139</v>
      </c>
      <c r="F23" s="9">
        <v>3</v>
      </c>
      <c r="H23" s="98" t="str">
        <f t="shared" ca="1" si="16"/>
        <v>みぎて</v>
      </c>
      <c r="I23" s="109" t="str">
        <f>IF(計算!F43="","",VLOOKUP(計算!F43,敵技,4,0))</f>
        <v>なし</v>
      </c>
      <c r="J23" s="109" t="str">
        <f>IF(計算!F43="","",VLOOKUP(計算!F43,敵技,5,0))</f>
        <v>物理</v>
      </c>
      <c r="K23" s="257">
        <f ca="1">IF(OR($H23="",K$15=""),"",MAX(0,ROUNDDOWN((計算!$I11-ROUNDDOWN((計算!$AG$4+MAX(-(計算!$AG$4),MIN(200,(ROUNDDOWN(計算!$AG$4/2,0)*K$10+ROUNDDOWN(計算!$AG$4/4,0)*K$11))))/2,0))/2,0)-(1+ROUNDDOWN(ROUNDDOWN((計算!$I11-ROUNDDOWN((計算!$AG$4+MAX(-(計算!$AG$4),MIN(200,(ROUNDDOWN(計算!$AG$4/2,0)*K$10+ROUNDDOWN(計算!$AG$4/4,0)*K$11))))/2,0))/2,0)/16,0))))</f>
        <v>104</v>
      </c>
      <c r="L23" s="258"/>
      <c r="M23" s="259">
        <f ca="1">IF(OR($H23="",K$15=""),"",MAX(1,ROUNDDOWN((計算!$I11-ROUNDDOWN((計算!$AG$4+MAX(-(計算!$AG$4),MIN(200,(ROUNDDOWN(計算!$AG$4/2,0)*K$10+ROUNDDOWN(計算!$AG$4/4,0)*K$11))))/2,0))/2,0)+(1+ROUNDDOWN(ROUNDDOWN((計算!$I11-ROUNDDOWN((計算!$AG$4+MAX(-(計算!$AG$4),MIN(200,(ROUNDDOWN(計算!$AG$4/2,0)*K$10+ROUNDDOWN(計算!$AG$4/4,0)*K$11))))/2,0))/2,0)/16,0))))</f>
        <v>118</v>
      </c>
      <c r="N23" s="260"/>
      <c r="O23" s="257">
        <f ca="1">IF(OR($H23="",O$15=""),"",MAX(0,ROUNDDOWN((計算!$I11-ROUNDDOWN((計算!$AG$5+MAX(-(計算!$AG$5),MIN(200,(ROUNDDOWN(計算!$AG$5/2,0)*O$10+ROUNDDOWN(計算!$AG$5/4,0)*O$11))))/2,0))/2,0)-(1+ROUNDDOWN(ROUNDDOWN((計算!$I11-ROUNDDOWN((計算!$AG$5+MAX(-(計算!$AG$5),MIN(200,(ROUNDDOWN(計算!$AG$5/2,0)*O$10+ROUNDDOWN(計算!$AG$5/4,0)*O$11))))/2,0))/2,0)/16,0))))</f>
        <v>89</v>
      </c>
      <c r="P23" s="258"/>
      <c r="Q23" s="259">
        <f ca="1">IF(OR($H23="",O$15=""),"",MAX(1,ROUNDDOWN((計算!$I11-ROUNDDOWN((計算!$AG$5+MAX(-(計算!$AG$5),MIN(200,(ROUNDDOWN(計算!$AG$5/2,0)*O$10+ROUNDDOWN(計算!$AG$5/4,0)*O$11))))/2,0))/2,0)+(1+ROUNDDOWN(ROUNDDOWN((計算!$I11-ROUNDDOWN((計算!$AG$5+MAX(-(計算!$AG$5),MIN(200,(ROUNDDOWN(計算!$AG$5/2,0)*O$10+ROUNDDOWN(計算!$AG$5/4,0)*O$11))))/2,0))/2,0)/16,0))))</f>
        <v>103</v>
      </c>
      <c r="R23" s="260"/>
      <c r="S23" s="257">
        <f ca="1">IF(OR($H23="",S$15=""),"",MAX(0,ROUNDDOWN((計算!$I11-ROUNDDOWN((計算!$AG$6+MAX(-(計算!$AG$6),MIN(200,(ROUNDDOWN(計算!$AG$6/2,0)*S$10+ROUNDDOWN(計算!$AG$6/4,0)*S$11))))/2,0))/2,0)-(1+ROUNDDOWN(ROUNDDOWN((計算!$I11-ROUNDDOWN((計算!$AG$6+MAX(-(計算!$AG$6),MIN(200,(ROUNDDOWN(計算!$AG$6/2,0)*S$10+ROUNDDOWN(計算!$AG$6/4,0)*S$11))))/2,0))/2,0)/16,0))))</f>
        <v>129</v>
      </c>
      <c r="T23" s="258"/>
      <c r="U23" s="259">
        <f ca="1">IF(OR($H23="",S$15=""),"",MAX(1,ROUNDDOWN((計算!$I11-ROUNDDOWN((計算!$AG$6+MAX(-(計算!$AG$6),MIN(200,(ROUNDDOWN(計算!$AG$6/2,0)*S$10+ROUNDDOWN(計算!$AG$6/4,0)*S$11))))/2,0))/2,0)+(1+ROUNDDOWN(ROUNDDOWN((計算!$I11-ROUNDDOWN((計算!$AG$6+MAX(-(計算!$AG$6),MIN(200,(ROUNDDOWN(計算!$AG$6/2,0)*S$10+ROUNDDOWN(計算!$AG$6/4,0)*S$11))))/2,0))/2,0)/16,0))))</f>
        <v>147</v>
      </c>
      <c r="V23" s="260"/>
      <c r="W23" s="257">
        <f ca="1">IF(OR($H23="",W$15=""),"",MAX(0,ROUNDDOWN((計算!$I11-ROUNDDOWN((計算!$AG$7+MAX(-(計算!$AG$7),MIN(200,(ROUNDDOWN(計算!$AG$7/2,0)*W$10+ROUNDDOWN(計算!$AG$7/4,0)*W$11))))/2,0))/2,0)-(1+ROUNDDOWN(ROUNDDOWN((計算!$I11-ROUNDDOWN((計算!$AG$7+MAX(-(計算!$AG$7),MIN(200,(ROUNDDOWN(計算!$AG$7/2,0)*W$10+ROUNDDOWN(計算!$AG$7/4,0)*W$11))))/2,0))/2,0)/16,0))))</f>
        <v>142</v>
      </c>
      <c r="X23" s="258"/>
      <c r="Y23" s="259">
        <f ca="1">IF(OR($H23="",W$15=""),"",MAX(1,ROUNDDOWN((計算!$I11-ROUNDDOWN((計算!$AG$7+MAX(-(計算!$AG$7),MIN(200,(ROUNDDOWN(計算!$AG$7/2,0)*W$10+ROUNDDOWN(計算!$AG$7/4,0)*W$11))))/2,0))/2,0)+(1+ROUNDDOWN(ROUNDDOWN((計算!$I11-ROUNDDOWN((計算!$AG$7+MAX(-(計算!$AG$7),MIN(200,(ROUNDDOWN(計算!$AG$7/2,0)*W$10+ROUNDDOWN(計算!$AG$7/4,0)*W$11))))/2,0))/2,0)/16,0))))</f>
        <v>162</v>
      </c>
      <c r="Z23" s="260"/>
      <c r="AA23" s="257">
        <f ca="1">IF(OR($H23="",AA$15=""),"",MAX(0,ROUNDDOWN((計算!$I11-ROUNDDOWN((計算!$AG$8+MAX(-(計算!$AG$8),MIN(200,(ROUNDDOWN(計算!$AG$8/2,0)*AA$10+ROUNDDOWN(計算!$AG$8/4,0)*AA$11))))/2,0))/2,0)-(1+ROUNDDOWN(ROUNDDOWN((計算!$I11-ROUNDDOWN((計算!$AG$8+MAX(-(計算!$AG$8),MIN(200,(ROUNDDOWN(計算!$AG$8/2,0)*AA$10+ROUNDDOWN(計算!$AG$8/4,0)*AA$11))))/2,0))/2,0)/16,0))))</f>
        <v>132</v>
      </c>
      <c r="AB23" s="258"/>
      <c r="AC23" s="259">
        <f ca="1">IF(OR($H23="",AA$15=""),"",MAX(1,ROUNDDOWN((計算!$I11-ROUNDDOWN((計算!$AG$8+MAX(-(計算!$AG$8),MIN(200,(ROUNDDOWN(計算!$AG$8/2,0)*AA$10+ROUNDDOWN(計算!$AG$8/4,0)*AA$11))))/2,0))/2,0)+(1+ROUNDDOWN(ROUNDDOWN((計算!$I11-ROUNDDOWN((計算!$AG$8+MAX(-(計算!$AG$8),MIN(200,(ROUNDDOWN(計算!$AG$8/2,0)*AA$10+ROUNDDOWN(計算!$AG$8/4,0)*AA$11))))/2,0))/2,0)/16,0))))</f>
        <v>150</v>
      </c>
      <c r="AD23" s="260"/>
      <c r="AE23" s="257">
        <f ca="1">IF(OR($H23="",AE$15=""),"",MAX(0,ROUNDDOWN((計算!$I11-ROUNDDOWN((計算!$AG$9+MAX(-(計算!$AG$9),MIN(200,(ROUNDDOWN(計算!$AG$9/2,0)*AE$10+ROUNDDOWN(計算!$AG$9/4,0)*AE$11))))/2,0))/2,0)-(1+ROUNDDOWN(ROUNDDOWN((計算!$I11-ROUNDDOWN((計算!$AG$9+MAX(-(計算!$AG$9),MIN(200,(ROUNDDOWN(計算!$AG$9/2,0)*AE$10+ROUNDDOWN(計算!$AG$9/4,0)*AE$11))))/2,0))/2,0)/16,0))))</f>
        <v>123</v>
      </c>
      <c r="AF23" s="258"/>
      <c r="AG23" s="259">
        <f ca="1">IF(OR($H23="",AE$15=""),"",MAX(1,ROUNDDOWN((計算!$I11-ROUNDDOWN((計算!$AG$9+MAX(-(計算!$AG$9),MIN(200,(ROUNDDOWN(計算!$AG$9/2,0)*AE$10+ROUNDDOWN(計算!$AG$9/4,0)*AE$11))))/2,0))/2,0)+(1+ROUNDDOWN(ROUNDDOWN((計算!$I11-ROUNDDOWN((計算!$AG$9+MAX(-(計算!$AG$9),MIN(200,(ROUNDDOWN(計算!$AG$9/2,0)*AE$10+ROUNDDOWN(計算!$AG$9/4,0)*AE$11))))/2,0))/2,0)/16,0))))</f>
        <v>141</v>
      </c>
      <c r="AH23" s="260"/>
      <c r="AI23" s="257">
        <f ca="1">IF(OR($H23="",AI$15=""),"",MAX(0,ROUNDDOWN((計算!$I11-ROUNDDOWN((計算!$AG$10+MAX(-(計算!$AG$10),MIN(200,(ROUNDDOWN(計算!$AG$10/2,0)*AI$10+ROUNDDOWN(計算!$AG$10/4,0)*AI$11))))/2,0))/2,0)-(1+ROUNDDOWN(ROUNDDOWN((計算!$I11-ROUNDDOWN((計算!$AG$10+MAX(-(計算!$AG$10),MIN(200,(ROUNDDOWN(計算!$AG$10/2,0)*AI$10+ROUNDDOWN(計算!$AG$10/4,0)*AI$11))))/2,0))/2,0)/16,0))))</f>
        <v>103</v>
      </c>
      <c r="AJ23" s="258"/>
      <c r="AK23" s="259">
        <f ca="1">IF(OR($H23="",AI$15=""),"",MAX(1,ROUNDDOWN((計算!$I11-ROUNDDOWN((計算!$AG$10+MAX(-(計算!$AG$10),MIN(200,(ROUNDDOWN(計算!$AG$10/2,0)*AI$10+ROUNDDOWN(計算!$AG$10/4,0)*AI$11))))/2,0))/2,0)+(1+ROUNDDOWN(ROUNDDOWN((計算!$I11-ROUNDDOWN((計算!$AG$10+MAX(-(計算!$AG$10),MIN(200,(ROUNDDOWN(計算!$AG$10/2,0)*AI$10+ROUNDDOWN(計算!$AG$10/4,0)*AI$11))))/2,0))/2,0)/16,0))))</f>
        <v>117</v>
      </c>
      <c r="AL23" s="260"/>
      <c r="AM23" s="257">
        <f ca="1">IF(OR($H23="",AM$15=""),"",MAX(0,ROUNDDOWN((計算!$I11-ROUNDDOWN((計算!$AG$11+MAX(-(計算!$AG$11),MIN(200,(ROUNDDOWN(計算!$AG$11/2,0)*AM$10+ROUNDDOWN(計算!$AG$11/4,0)*AM$11))))/2,0))/2,0)-(1+ROUNDDOWN(ROUNDDOWN((計算!$I11-ROUNDDOWN((計算!$AG$11+MAX(-(計算!$AG$11),MIN(200,(ROUNDDOWN(計算!$AG$11/2,0)*AM$10+ROUNDDOWN(計算!$AG$11/4,0)*AM$11))))/2,0))/2,0)/16,0))))</f>
        <v>74</v>
      </c>
      <c r="AN23" s="258"/>
      <c r="AO23" s="259">
        <f ca="1">IF(OR($H23="",AM$15=""),"",MAX(1,ROUNDDOWN((計算!$I11-ROUNDDOWN((計算!$AG$11+MAX(-(計算!$AG$11),MIN(200,(ROUNDDOWN(計算!$AG$11/2,0)*AM$10+ROUNDDOWN(計算!$AG$11/4,0)*AM$11))))/2,0))/2,0)+(1+ROUNDDOWN(ROUNDDOWN((計算!$I11-ROUNDDOWN((計算!$AG$11+MAX(-(計算!$AG$11),MIN(200,(ROUNDDOWN(計算!$AG$11/2,0)*AM$10+ROUNDDOWN(計算!$AG$11/4,0)*AM$11))))/2,0))/2,0)/16,0))))</f>
        <v>84</v>
      </c>
      <c r="AP23" s="260"/>
      <c r="AQ23" s="115" t="str">
        <f>IF(計算!F43="","",VLOOKUP(計算!F43,敵技,6,0))</f>
        <v>岩石</v>
      </c>
      <c r="AR23" s="115" t="str">
        <f>IF(計算!F43="","",VLOOKUP(計算!F43,敵技,7,0))</f>
        <v>単体</v>
      </c>
      <c r="AT23" s="99" t="str">
        <f t="shared" ca="1" si="17"/>
        <v>ドランゴ</v>
      </c>
      <c r="AU23" s="109" t="str">
        <f>IF(計算!F27="","",VLOOKUP(計算!F27,味方技,4,0))</f>
        <v>なし</v>
      </c>
      <c r="AV23" s="109" t="str">
        <f>IF(計算!F27="","",VLOOKUP(計算!F27,味方技,5,0))</f>
        <v>物理</v>
      </c>
      <c r="AW23" s="257">
        <f ca="1">IF(OR($AT23="",AW$15=""),"",MAX(0,ROUNDDOWN((計算!$AF11-ROUNDDOWN((計算!$J$4+MAX(-(計算!$J$4),MIN(200,(ROUNDDOWN(計算!$J$4/2,0)*AW$10+ROUNDDOWN(計算!$J$4/4,0)*AW$11))))/2,0))/2,0)-(1+ROUNDDOWN(ROUNDDOWN((計算!$AF11-ROUNDDOWN((計算!$J$4+MAX(-(計算!$J$4),MIN(200,(ROUNDDOWN(計算!$J$4/2,0)*AW$10+ROUNDDOWN(計算!$J$4/4,0)*AW$11))))/2,0))/2,0)/16,0))))</f>
        <v>46</v>
      </c>
      <c r="AX23" s="258"/>
      <c r="AY23" s="278">
        <f ca="1">IF(OR($AT23="",AW$15=""),"",MAX(1,ROUNDDOWN((計算!$AF11-ROUNDDOWN((計算!$J$4+MAX(-(計算!$J$4),MIN(200,(ROUNDDOWN(計算!$J$4/2,0)*AY$10+ROUNDDOWN(計算!$J$4/4,0)*AY$11))))/2,0))/2,0)+(1+ROUNDDOWN(ROUNDDOWN((計算!$AF11-ROUNDDOWN((計算!$J$4+MAX(-(計算!$J$4),MIN(200,(ROUNDDOWN(計算!$J$4/2,0)*AY$10+ROUNDDOWN(計算!$J$4/4,0)*AY$11))))/2,0))/2,0)/16,0))))</f>
        <v>54</v>
      </c>
      <c r="AZ23" s="258"/>
      <c r="BA23" s="257">
        <f ca="1">IF(OR($AT23="",BA$15=""),"",MAX(0,ROUNDDOWN((計算!$AF11-ROUNDDOWN((計算!$J$5+MAX(-(計算!$J$5),MIN(200,(ROUNDDOWN(計算!$J$5/2,0)*BA$10+ROUNDDOWN(計算!$J$5/4,0)*BA$11))))/2,0))/2,0)-(1+ROUNDDOWN(ROUNDDOWN((計算!$AF11-ROUNDDOWN((計算!$J$5+MAX(-(計算!$J$5),MIN(200,(ROUNDDOWN(計算!$J$5/2,0)*BA$10+ROUNDDOWN(計算!$J$5/4,0)*BA$11))))/2,0))/2,0)/16,0))))</f>
        <v>46</v>
      </c>
      <c r="BB23" s="258"/>
      <c r="BC23" s="278">
        <f ca="1">IF(OR($AT23="",BA$15=""),"",MAX(1,ROUNDDOWN((計算!$AF11-ROUNDDOWN((計算!$J$5+MAX(-(計算!$J$5),MIN(200,(ROUNDDOWN(計算!$J$5/2,0)*BC$10+ROUNDDOWN(計算!$J$5/4,0)*BC$11))))/2,0))/2,0)+(1+ROUNDDOWN(ROUNDDOWN((計算!$AF11-ROUNDDOWN((計算!$J$5+MAX(-(計算!$J$5),MIN(200,(ROUNDDOWN(計算!$J$5/2,0)*BC$10+ROUNDDOWN(計算!$J$5/4,0)*BC$11))))/2,0))/2,0)/16,0))))</f>
        <v>54</v>
      </c>
      <c r="BD23" s="258"/>
      <c r="BE23" s="257">
        <f ca="1">IF(OR($AT23="",BE$15=""),"",MAX(0,ROUNDDOWN((計算!$AF11-ROUNDDOWN((計算!$J$6+MAX(-(計算!$J$6),MIN(200,(ROUNDDOWN(計算!$J$6/2,0)*BE$10+ROUNDDOWN(計算!$J$6/4,0)*BE$11))))/2,0))/2,0)-(1+ROUNDDOWN(ROUNDDOWN((計算!$AF11-ROUNDDOWN((計算!$J$6+MAX(-(計算!$J$6),MIN(200,(ROUNDDOWN(計算!$J$6/2,0)*BE$10+ROUNDDOWN(計算!$J$6/4,0)*BE$11))))/2,0))/2,0)/16,0))))</f>
        <v>46</v>
      </c>
      <c r="BF23" s="258"/>
      <c r="BG23" s="278">
        <f ca="1">IF(OR($AT23="",BE$15=""),"",MAX(1,ROUNDDOWN((計算!$AF11-ROUNDDOWN((計算!$J$6+MAX(-(計算!$J$6),MIN(200,(ROUNDDOWN(計算!$J$6/2,0)*BG$10+ROUNDDOWN(計算!$J$6/4,0)*BG$11))))/2,0))/2,0)+(1+ROUNDDOWN(ROUNDDOWN((計算!$AF11-ROUNDDOWN((計算!$J$6+MAX(-(計算!$J$6),MIN(200,(ROUNDDOWN(計算!$J$6/2,0)*BG$10+ROUNDDOWN(計算!$J$6/4,0)*BG$11))))/2,0))/2,0)/16,0))))</f>
        <v>54</v>
      </c>
      <c r="BH23" s="258"/>
      <c r="BI23" s="257">
        <f ca="1">IF(OR($AT23="",BI$15=""),"",MAX(0,ROUNDDOWN((計算!$AF11-ROUNDDOWN((計算!$J$7+MAX(-(計算!$J$7),MIN(200,(ROUNDDOWN(計算!$J$7/2,0)*BI$10+ROUNDDOWN(計算!$J$7/4,0)*BI$11))))/2,0))/2,0)-(1+ROUNDDOWN(ROUNDDOWN((計算!$AF11-ROUNDDOWN((計算!$J$7+MAX(-(計算!$J$7),MIN(200,(ROUNDDOWN(計算!$J$7/2,0)*BI$10+ROUNDDOWN(計算!$J$7/4,0)*BI$11))))/2,0))/2,0)/16,0))))</f>
        <v>46</v>
      </c>
      <c r="BJ23" s="258"/>
      <c r="BK23" s="278">
        <f ca="1">IF(OR($AT23="",BI$15=""),"",MAX(1,ROUNDDOWN((計算!$AF11-ROUNDDOWN((計算!$J$7+MAX(-(計算!$J$7),MIN(200,(ROUNDDOWN(計算!$J$7/2,0)*BK$10+ROUNDDOWN(計算!$J$7/4,0)*BK$11))))/2,0))/2,0)+(1+ROUNDDOWN(ROUNDDOWN((計算!$AF11-ROUNDDOWN((計算!$J$7+MAX(-(計算!$J$7),MIN(200,(ROUNDDOWN(計算!$J$7/2,0)*BK$10+ROUNDDOWN(計算!$J$7/4,0)*BK$11))))/2,0))/2,0)/16,0))))</f>
        <v>54</v>
      </c>
      <c r="BL23" s="258"/>
      <c r="BM23" s="257">
        <f ca="1">IF(OR($AT23="",BM$15=""),"",MAX(0,ROUNDDOWN((計算!$AF11-ROUNDDOWN((計算!$J$8+MAX(-(計算!$J$8),MIN(200,(ROUNDDOWN(計算!$J$8/2,0)*BM$10+ROUNDDOWN(計算!$J$8/4,0)*BM$11))))/2,0))/2,0)-(1+ROUNDDOWN(ROUNDDOWN((計算!$AF11-ROUNDDOWN((計算!$J$8+MAX(-(計算!$J$8),MIN(200,(ROUNDDOWN(計算!$J$8/2,0)*BM$10+ROUNDDOWN(計算!$J$8/4,0)*BM$11))))/2,0))/2,0)/16,0))))</f>
        <v>46</v>
      </c>
      <c r="BN23" s="258"/>
      <c r="BO23" s="278">
        <f ca="1">IF(OR($AT23="",BM$15=""),"",MAX(1,ROUNDDOWN((計算!$AF11-ROUNDDOWN((計算!$J$8+MAX(-(計算!$J$8),MIN(200,(ROUNDDOWN(計算!$J$8/2,0)*BO$10+ROUNDDOWN(計算!$J$8/4,0)*BO$11))))/2,0))/2,0)+(1+ROUNDDOWN(ROUNDDOWN((計算!$AF11-ROUNDDOWN((計算!$J$8+MAX(-(計算!$J$8),MIN(200,(ROUNDDOWN(計算!$J$8/2,0)*BO$10+ROUNDDOWN(計算!$J$8/4,0)*BO$11))))/2,0))/2,0)/16,0))))</f>
        <v>54</v>
      </c>
      <c r="BP23" s="258"/>
      <c r="BQ23" s="257">
        <f ca="1">IF(OR($AT23="",BQ$15=""),"",MAX(0,ROUNDDOWN((計算!$AF11-ROUNDDOWN((計算!$J$9+MAX(-(計算!$J$9),MIN(200,(ROUNDDOWN(計算!$J$9/2,0)*BQ$10+ROUNDDOWN(計算!$J$9/4,0)*BQ$11))))/2,0))/2,0)-(1+ROUNDDOWN(ROUNDDOWN((計算!$AF11-ROUNDDOWN((計算!$J$9+MAX(-(計算!$J$9),MIN(200,(ROUNDDOWN(計算!$J$9/2,0)*BQ$10+ROUNDDOWN(計算!$J$9/4,0)*BQ$11))))/2,0))/2,0)/16,0))))</f>
        <v>84</v>
      </c>
      <c r="BR23" s="258"/>
      <c r="BS23" s="278">
        <f ca="1">IF(OR($AT23="",BQ$15=""),"",MAX(1,ROUNDDOWN((計算!$AF11-ROUNDDOWN((計算!$J$9+MAX(-(計算!$J$9),MIN(200,(ROUNDDOWN(計算!$J$9/2,0)*BS$10+ROUNDDOWN(計算!$J$9/4,0)*BS$11))))/2,0))/2,0)+(1+ROUNDDOWN(ROUNDDOWN((計算!$AF11-ROUNDDOWN((計算!$J$9+MAX(-(計算!$J$9),MIN(200,(ROUNDDOWN(計算!$J$9/2,0)*BS$10+ROUNDDOWN(計算!$J$9/4,0)*BS$11))))/2,0))/2,0)/16,0))))</f>
        <v>96</v>
      </c>
      <c r="BT23" s="258"/>
      <c r="BU23" s="257">
        <f ca="1">IF(OR($AT23="",BU$15=""),"",MAX(0,ROUNDDOWN((計算!$AF11-ROUNDDOWN((計算!$J$10+MAX(-(計算!$J$10),MIN(200,(ROUNDDOWN(計算!$J$10/2,0)*BU$10+ROUNDDOWN(計算!$J$10/4,0)*BU$11))))/2,0))/2,0)-(1+ROUNDDOWN(ROUNDDOWN((計算!$AF11-ROUNDDOWN((計算!$J$10+MAX(-(計算!$J$10),MIN(200,(ROUNDDOWN(計算!$J$10/2,0)*BU$10+ROUNDDOWN(計算!$J$10/4,0)*BU$11))))/2,0))/2,0)/16,0))))</f>
        <v>84</v>
      </c>
      <c r="BV23" s="258"/>
      <c r="BW23" s="278">
        <f ca="1">IF(OR($AT23="",BU$15=""),"",MAX(1,ROUNDDOWN((計算!$AF11-ROUNDDOWN((計算!$J$10+MAX(-(計算!$J$10),MIN(200,(ROUNDDOWN(計算!$J$10/2,0)*BW$10+ROUNDDOWN(計算!$J$10/4,0)*BW$11))))/2,0))/2,0)+(1+ROUNDDOWN(ROUNDDOWN((計算!$AF11-ROUNDDOWN((計算!$J$10+MAX(-(計算!$J$10),MIN(200,(ROUNDDOWN(計算!$J$10/2,0)*BW$10+ROUNDDOWN(計算!$J$10/4,0)*BW$11))))/2,0))/2,0)/16,0))))</f>
        <v>96</v>
      </c>
      <c r="BX23" s="258"/>
      <c r="BY23" s="257">
        <f ca="1">IF(OR($AT23="",BY$15=""),"",MAX(0,ROUNDDOWN((計算!$AF11-ROUNDDOWN((計算!$J$11+MAX(-(計算!$J$11),MIN(200,(ROUNDDOWN(計算!$J$11/2,0)*BY$10+ROUNDDOWN(計算!$J$11/4,0)*BY$11))))/2,0))/2,0)-(1+ROUNDDOWN(ROUNDDOWN((計算!$AF11-ROUNDDOWN((計算!$J$11+MAX(-(計算!$J$11),MIN(200,(ROUNDDOWN(計算!$J$11/2,0)*BY$10+ROUNDDOWN(計算!$J$11/4,0)*BY$11))))/2,0))/2,0)/16,0))))</f>
        <v>84</v>
      </c>
      <c r="BZ23" s="258"/>
      <c r="CA23" s="278">
        <f ca="1">IF(OR($AT23="",BY$15=""),"",MAX(1,ROUNDDOWN((計算!$AF11-ROUNDDOWN((計算!$J$11+MAX(-(計算!$J$11),MIN(200,(ROUNDDOWN(計算!$J$11/2,0)*CA$10+ROUNDDOWN(計算!$J$11/4,0)*CA$11))))/2,0))/2,0)+(1+ROUNDDOWN(ROUNDDOWN((計算!$AF11-ROUNDDOWN((計算!$J$11+MAX(-(計算!$J$11),MIN(200,(ROUNDDOWN(計算!$J$11/2,0)*CA$10+ROUNDDOWN(計算!$J$11/4,0)*CA$11))))/2,0))/2,0)/16,0))))</f>
        <v>96</v>
      </c>
      <c r="CB23" s="258"/>
      <c r="CC23" s="115" t="str">
        <f>IF(計算!AR44="","",VLOOKUP(計算!AR44,敵技,6,0))</f>
        <v/>
      </c>
      <c r="CD23" s="115" t="str">
        <f>IF(計算!AR44="","",VLOOKUP(計算!AR44,敵技,7,0))</f>
        <v/>
      </c>
    </row>
    <row r="24" spans="2:82" x14ac:dyDescent="0.15">
      <c r="B24" s="9" t="str">
        <f t="shared" ca="1" si="0"/>
        <v>ジャミラス</v>
      </c>
      <c r="C24" s="9">
        <f t="shared" ca="1" si="1"/>
        <v>19</v>
      </c>
      <c r="D24" s="9">
        <v>147</v>
      </c>
      <c r="F24" s="9">
        <v>2</v>
      </c>
    </row>
    <row r="25" spans="2:82" x14ac:dyDescent="0.15">
      <c r="B25" s="9" t="str">
        <f t="shared" ca="1" si="0"/>
        <v>しれんその1</v>
      </c>
      <c r="C25" s="9">
        <f t="shared" ca="1" si="1"/>
        <v>20</v>
      </c>
      <c r="D25" s="9">
        <v>155</v>
      </c>
      <c r="F25" s="9">
        <v>1</v>
      </c>
      <c r="H25" s="267" t="s">
        <v>630</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9"/>
      <c r="AT25" s="267" t="s">
        <v>717</v>
      </c>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9"/>
    </row>
    <row r="26" spans="2:82" x14ac:dyDescent="0.15">
      <c r="B26" s="9" t="str">
        <f t="shared" ca="1" si="0"/>
        <v>しれんその2</v>
      </c>
      <c r="C26" s="9">
        <f t="shared" ca="1" si="1"/>
        <v>21</v>
      </c>
      <c r="D26" s="9">
        <v>163</v>
      </c>
      <c r="F26" s="9">
        <v>0</v>
      </c>
      <c r="H26" s="103" t="s">
        <v>449</v>
      </c>
      <c r="I26" s="101" t="s">
        <v>201</v>
      </c>
      <c r="J26" s="111" t="s">
        <v>579</v>
      </c>
      <c r="K26" s="264" t="str">
        <f ca="1">K$5</f>
        <v>主人公</v>
      </c>
      <c r="L26" s="265"/>
      <c r="M26" s="265"/>
      <c r="N26" s="266"/>
      <c r="O26" s="264" t="str">
        <f t="shared" ref="O26" ca="1" si="18">O$5</f>
        <v>ハッサン</v>
      </c>
      <c r="P26" s="265"/>
      <c r="Q26" s="265"/>
      <c r="R26" s="266"/>
      <c r="S26" s="264" t="str">
        <f t="shared" ref="S26" ca="1" si="19">S$5</f>
        <v>ミレーユ</v>
      </c>
      <c r="T26" s="265"/>
      <c r="U26" s="265"/>
      <c r="V26" s="266"/>
      <c r="W26" s="264" t="str">
        <f t="shared" ref="W26" ca="1" si="20">W$5</f>
        <v>バーバラ</v>
      </c>
      <c r="X26" s="265"/>
      <c r="Y26" s="265"/>
      <c r="Z26" s="266"/>
      <c r="AA26" s="264" t="str">
        <f t="shared" ref="AA26" ca="1" si="21">AA$5</f>
        <v>チャモロ</v>
      </c>
      <c r="AB26" s="265"/>
      <c r="AC26" s="265"/>
      <c r="AD26" s="266"/>
      <c r="AE26" s="264" t="str">
        <f t="shared" ref="AE26" ca="1" si="22">AE$5</f>
        <v>アモス</v>
      </c>
      <c r="AF26" s="265"/>
      <c r="AG26" s="265"/>
      <c r="AH26" s="266"/>
      <c r="AI26" s="264" t="str">
        <f t="shared" ref="AI26" ca="1" si="23">AI$5</f>
        <v>テリー</v>
      </c>
      <c r="AJ26" s="265"/>
      <c r="AK26" s="265"/>
      <c r="AL26" s="266"/>
      <c r="AM26" s="264" t="str">
        <f t="shared" ref="AM26" ca="1" si="24">AM$5</f>
        <v>ドランゴ</v>
      </c>
      <c r="AN26" s="265"/>
      <c r="AO26" s="265"/>
      <c r="AP26" s="266"/>
      <c r="AT26" s="103" t="s">
        <v>449</v>
      </c>
      <c r="AU26" s="129" t="s">
        <v>201</v>
      </c>
      <c r="AV26" s="128" t="s">
        <v>579</v>
      </c>
      <c r="AW26" s="264" t="str">
        <f ca="1">AW$5</f>
        <v>デスタムーア3</v>
      </c>
      <c r="AX26" s="265"/>
      <c r="AY26" s="265"/>
      <c r="AZ26" s="266"/>
      <c r="BA26" s="264" t="str">
        <f t="shared" ref="BA26" ca="1" si="25">BA$5</f>
        <v>デスタムーア3</v>
      </c>
      <c r="BB26" s="265"/>
      <c r="BC26" s="265"/>
      <c r="BD26" s="266"/>
      <c r="BE26" s="264" t="str">
        <f t="shared" ref="BE26" ca="1" si="26">BE$5</f>
        <v>デスタムーア3</v>
      </c>
      <c r="BF26" s="265"/>
      <c r="BG26" s="265"/>
      <c r="BH26" s="266"/>
      <c r="BI26" s="264" t="str">
        <f t="shared" ref="BI26" ca="1" si="27">BI$5</f>
        <v>デスタムーア3</v>
      </c>
      <c r="BJ26" s="265"/>
      <c r="BK26" s="265"/>
      <c r="BL26" s="266"/>
      <c r="BM26" s="264" t="str">
        <f t="shared" ref="BM26" ca="1" si="28">BM$5</f>
        <v>デスタムーア3</v>
      </c>
      <c r="BN26" s="265"/>
      <c r="BO26" s="265"/>
      <c r="BP26" s="266"/>
      <c r="BQ26" s="264" t="str">
        <f t="shared" ref="BQ26" ca="1" si="29">BQ$5</f>
        <v>ひだりて</v>
      </c>
      <c r="BR26" s="265"/>
      <c r="BS26" s="265"/>
      <c r="BT26" s="266"/>
      <c r="BU26" s="264" t="str">
        <f t="shared" ref="BU26" ca="1" si="30">BU$5</f>
        <v>みぎて</v>
      </c>
      <c r="BV26" s="265"/>
      <c r="BW26" s="265"/>
      <c r="BX26" s="266"/>
      <c r="BY26" s="264" t="str">
        <f t="shared" ref="BY26" ca="1" si="31">BY$5</f>
        <v>みぎて</v>
      </c>
      <c r="BZ26" s="265"/>
      <c r="CA26" s="265"/>
      <c r="CB26" s="266"/>
    </row>
    <row r="27" spans="2:82" x14ac:dyDescent="0.15">
      <c r="B27" s="9" t="str">
        <f t="shared" ca="1" si="0"/>
        <v>しれんその3</v>
      </c>
      <c r="C27" s="9">
        <f t="shared" ca="1" si="1"/>
        <v>22</v>
      </c>
      <c r="D27" s="9">
        <v>171</v>
      </c>
      <c r="F27" s="9">
        <v>-1</v>
      </c>
      <c r="H27" s="98" t="str">
        <f ca="1">$H5</f>
        <v>デスタムーア3</v>
      </c>
      <c r="I27" s="108" t="str">
        <f>IF(計算!F36="","",VLOOKUP(計算!F36,敵技,4,0))</f>
        <v>なし</v>
      </c>
      <c r="J27" s="106" t="str">
        <f>IF(計算!F36="","",VLOOKUP(計算!F36,敵技,5,0))</f>
        <v>無視</v>
      </c>
      <c r="K27" s="257">
        <f ca="1">IFERROR(IF(OR(K$26="",$H27=""),"",VLOOKUP(K$26,キャラデータ,MATCH(補助シート!$I16,キャラデータカラム,0)+1,0)),0)</f>
        <v>0</v>
      </c>
      <c r="L27" s="258"/>
      <c r="M27" s="278">
        <f ca="1">IFERROR(IF(OR(K$26="",$H27=""),"",VLOOKUP(K$26,キャラデータ,MATCH(補助シート!$I16,キャラデータカラム,0)+1,0)),0)</f>
        <v>0</v>
      </c>
      <c r="N27" s="258"/>
      <c r="O27" s="257">
        <f ca="1">IFERROR(IF(OR(O$26="",$H27=""),"",VLOOKUP(O$26,キャラデータ,MATCH(補助シート!$I16,キャラデータカラム,0)+1,0)),0)</f>
        <v>0</v>
      </c>
      <c r="P27" s="258"/>
      <c r="Q27" s="278">
        <f ca="1">IFERROR(IF(OR(O$26="",$H27=""),"",VLOOKUP(O$26,キャラデータ,MATCH(補助シート!$I16,キャラデータカラム,0)+1,0)),0)</f>
        <v>0</v>
      </c>
      <c r="R27" s="258"/>
      <c r="S27" s="257">
        <f ca="1">IFERROR(IF(OR(S$26="",$H27=""),"",VLOOKUP(S$26,キャラデータ,MATCH(補助シート!$I16,キャラデータカラム,0)+1,0)),0)</f>
        <v>0</v>
      </c>
      <c r="T27" s="258"/>
      <c r="U27" s="278">
        <f ca="1">IFERROR(IF(OR(S$26="",$H27=""),"",VLOOKUP(S$26,キャラデータ,MATCH(補助シート!$I16,キャラデータカラム,0)+1,0)),0)</f>
        <v>0</v>
      </c>
      <c r="V27" s="258"/>
      <c r="W27" s="257">
        <f ca="1">IFERROR(IF(OR(W$26="",$H27=""),"",VLOOKUP(W$26,キャラデータ,MATCH(補助シート!$I16,キャラデータカラム,0)+1,0)),0)</f>
        <v>0</v>
      </c>
      <c r="X27" s="258"/>
      <c r="Y27" s="278">
        <f ca="1">IFERROR(IF(OR(W$26="",$H27=""),"",VLOOKUP(W$26,キャラデータ,MATCH(補助シート!$I16,キャラデータカラム,0)+1,0)),0)</f>
        <v>0</v>
      </c>
      <c r="Z27" s="258"/>
      <c r="AA27" s="257">
        <f ca="1">IFERROR(IF(OR(AA$26="",$H27=""),"",VLOOKUP(AA$26,キャラデータ,MATCH(補助シート!$I16,キャラデータカラム,0)+1,0)),0)</f>
        <v>0</v>
      </c>
      <c r="AB27" s="258"/>
      <c r="AC27" s="278">
        <f ca="1">IFERROR(IF(OR(AA$26="",$H27=""),"",VLOOKUP(AA$26,キャラデータ,MATCH(補助シート!$I16,キャラデータカラム,0)+1,0)),0)</f>
        <v>0</v>
      </c>
      <c r="AD27" s="258"/>
      <c r="AE27" s="257">
        <f ca="1">IFERROR(IF(OR(AE$26="",$H27=""),"",VLOOKUP(AE$26,キャラデータ,MATCH(補助シート!$I16,キャラデータカラム,0)+1,0)),0)</f>
        <v>0</v>
      </c>
      <c r="AF27" s="258"/>
      <c r="AG27" s="278">
        <f ca="1">IFERROR(IF(OR(AE$26="",$H27=""),"",VLOOKUP(AE$26,キャラデータ,MATCH(補助シート!$I16,キャラデータカラム,0)+1,0)),0)</f>
        <v>0</v>
      </c>
      <c r="AH27" s="258"/>
      <c r="AI27" s="257">
        <f ca="1">IFERROR(IF(OR(AI$26="",$H27=""),"",VLOOKUP(AI$26,キャラデータ,MATCH(補助シート!$I16,キャラデータカラム,0)+1,0)),0)</f>
        <v>0</v>
      </c>
      <c r="AJ27" s="258"/>
      <c r="AK27" s="278">
        <f ca="1">IFERROR(IF(OR(AI$26="",$H27=""),"",VLOOKUP(AI$26,キャラデータ,MATCH(補助シート!$I16,キャラデータカラム,0)+1,0)),0)</f>
        <v>0</v>
      </c>
      <c r="AL27" s="258"/>
      <c r="AM27" s="257">
        <f ca="1">IFERROR(IF(OR(AM$26="",$H27=""),"",VLOOKUP(AM$26,キャラデータ,MATCH(補助シート!$I16,キャラデータカラム,0)+1,0)),0)</f>
        <v>0</v>
      </c>
      <c r="AN27" s="258"/>
      <c r="AO27" s="278">
        <f ca="1">IFERROR(IF(OR(AM$26="",$H27=""),"",VLOOKUP(AM$26,キャラデータ,MATCH(補助シート!$I16,キャラデータカラム,0)+1,0)),0)</f>
        <v>0</v>
      </c>
      <c r="AP27" s="258"/>
      <c r="AT27" s="98" t="str">
        <f ca="1">AT5</f>
        <v>主人公</v>
      </c>
      <c r="AU27" s="108" t="str">
        <f>AU16</f>
        <v>メ</v>
      </c>
      <c r="AV27" s="108" t="str">
        <f>AV16</f>
        <v>中</v>
      </c>
      <c r="AW27" s="257">
        <f ca="1">IFERROR(IF(OR(AW$26="",$AT27=""),"",VLOOKUP(AW$26,敵リスト,MATCH(補助シート!$AU27,敵耐性カラム,0)+11,0)),0)</f>
        <v>1</v>
      </c>
      <c r="AX27" s="258"/>
      <c r="AY27" s="257">
        <f ca="1">IFERROR(IF(OR(AW$26="",$AT27=""),"",VLOOKUP(AW$26,敵リスト,MATCH(補助シート!$AU27,敵耐性カラム,0)+11,0)),0)</f>
        <v>1</v>
      </c>
      <c r="AZ27" s="258"/>
      <c r="BA27" s="257">
        <f ca="1">IFERROR(IF(OR(BA$26="",$AT27=""),"",VLOOKUP(BA$26,敵リスト,MATCH(補助シート!$AU27,敵耐性カラム,0)+11,0)),0)</f>
        <v>1</v>
      </c>
      <c r="BB27" s="258"/>
      <c r="BC27" s="257">
        <f ca="1">IFERROR(IF(OR(BA$26="",$AT27=""),"",VLOOKUP(BA$26,敵リスト,MATCH(補助シート!$AU27,敵耐性カラム,0)+11,0)),0)</f>
        <v>1</v>
      </c>
      <c r="BD27" s="258"/>
      <c r="BE27" s="257">
        <f ca="1">IFERROR(IF(OR(BE$26="",$AT27=""),"",VLOOKUP(BE$26,敵リスト,MATCH(補助シート!$AU27,敵耐性カラム,0)+11,0)),0)</f>
        <v>1</v>
      </c>
      <c r="BF27" s="258"/>
      <c r="BG27" s="257">
        <f ca="1">IFERROR(IF(OR(BE$26="",$AT27=""),"",VLOOKUP(BE$26,敵リスト,MATCH(補助シート!$AU27,敵耐性カラム,0)+11,0)),0)</f>
        <v>1</v>
      </c>
      <c r="BH27" s="258"/>
      <c r="BI27" s="257">
        <f ca="1">IFERROR(IF(OR(BI$26="",$AT27=""),"",VLOOKUP(BI$26,敵リスト,MATCH(補助シート!$AU27,敵耐性カラム,0)+11,0)),0)</f>
        <v>1</v>
      </c>
      <c r="BJ27" s="258"/>
      <c r="BK27" s="257">
        <f ca="1">IFERROR(IF(OR(BI$26="",$AT27=""),"",VLOOKUP(BI$26,敵リスト,MATCH(補助シート!$AU27,敵耐性カラム,0)+11,0)),0)</f>
        <v>1</v>
      </c>
      <c r="BL27" s="258"/>
      <c r="BM27" s="257">
        <f ca="1">IFERROR(IF(OR(BM$26="",$AT27=""),"",VLOOKUP(BM$26,敵リスト,MATCH(補助シート!$AU27,敵耐性カラム,0)+11,0)),0)</f>
        <v>1</v>
      </c>
      <c r="BN27" s="258"/>
      <c r="BO27" s="257">
        <f ca="1">IFERROR(IF(OR(BM$26="",$AT27=""),"",VLOOKUP(BM$26,敵リスト,MATCH(補助シート!$AU27,敵耐性カラム,0)+11,0)),0)</f>
        <v>1</v>
      </c>
      <c r="BP27" s="258"/>
      <c r="BQ27" s="257">
        <f ca="1">IFERROR(IF(OR(BQ$26="",$AT27=""),"",VLOOKUP(BQ$26,敵リスト,MATCH(補助シート!$AU27,敵耐性カラム,0)+11,0)),0)</f>
        <v>1</v>
      </c>
      <c r="BR27" s="258"/>
      <c r="BS27" s="257">
        <f ca="1">IFERROR(IF(OR(BQ$26="",$AT27=""),"",VLOOKUP(BQ$26,敵リスト,MATCH(補助シート!$AU27,敵耐性カラム,0)+11,0)),0)</f>
        <v>1</v>
      </c>
      <c r="BT27" s="258"/>
      <c r="BU27" s="257">
        <f ca="1">IFERROR(IF(OR(BU$26="",$AT27=""),"",VLOOKUP(BU$26,敵リスト,MATCH(補助シート!$AU27,敵耐性カラム,0)+11,0)),0)</f>
        <v>0</v>
      </c>
      <c r="BV27" s="258"/>
      <c r="BW27" s="257">
        <f ca="1">IFERROR(IF(OR(BU$26="",$AT27=""),"",VLOOKUP(BU$26,敵リスト,MATCH(補助シート!$AU27,敵耐性カラム,0)+11,0)),0)</f>
        <v>0</v>
      </c>
      <c r="BX27" s="258"/>
      <c r="BY27" s="257">
        <f ca="1">IFERROR(IF(OR(BY$26="",$AT27=""),"",VLOOKUP(BY$26,敵リスト,MATCH(補助シート!$AU27,敵耐性カラム,0)+11,0)),0)</f>
        <v>0</v>
      </c>
      <c r="BZ27" s="258"/>
      <c r="CA27" s="257">
        <f ca="1">IFERROR(IF(OR(BY$26="",$AT27=""),"",VLOOKUP(BY$26,敵リスト,MATCH(補助シート!$AU27,敵耐性カラム,0)+11,0)),0)</f>
        <v>0</v>
      </c>
      <c r="CB27" s="258"/>
    </row>
    <row r="28" spans="2:82" x14ac:dyDescent="0.15">
      <c r="B28" s="9" t="str">
        <f t="shared" ca="1" si="0"/>
        <v>いどまじん</v>
      </c>
      <c r="C28" s="9">
        <f t="shared" ca="1" si="1"/>
        <v>23</v>
      </c>
      <c r="D28" s="9">
        <v>179</v>
      </c>
      <c r="F28" s="9">
        <v>-2</v>
      </c>
      <c r="H28" s="98" t="str">
        <f t="shared" ref="H28:H34" ca="1" si="32">$H6</f>
        <v>デスタムーア3</v>
      </c>
      <c r="I28" s="108" t="str">
        <f>IF(計算!F37="","",VLOOKUP(計算!F37,敵技,4,0))</f>
        <v>メ</v>
      </c>
      <c r="J28" s="106" t="str">
        <f>IF(計算!F37="","",VLOOKUP(計算!F37,敵技,5,0))</f>
        <v>中</v>
      </c>
      <c r="K28" s="257">
        <f ca="1">IFERROR(IF(OR(K$26="",$H28=""),"",VLOOKUP(K$26,キャラデータ,MATCH(補助シート!$I17,キャラデータカラム,0)+1,0)),0)</f>
        <v>0</v>
      </c>
      <c r="L28" s="258"/>
      <c r="M28" s="278">
        <f ca="1">IFERROR(IF(OR(K$26="",$H28=""),"",VLOOKUP(K$26,キャラデータ,MATCH(補助シート!$I17,キャラデータカラム,0)+1,0)),0)</f>
        <v>0</v>
      </c>
      <c r="N28" s="258"/>
      <c r="O28" s="257">
        <f ca="1">IFERROR(IF(OR(O$26="",$H28=""),"",VLOOKUP(O$26,キャラデータ,MATCH(補助シート!$I17,キャラデータカラム,0)+1,0)),0)</f>
        <v>0</v>
      </c>
      <c r="P28" s="258"/>
      <c r="Q28" s="278">
        <f ca="1">IFERROR(IF(OR(O$26="",$H28=""),"",VLOOKUP(O$26,キャラデータ,MATCH(補助シート!$I17,キャラデータカラム,0)+1,0)),0)</f>
        <v>0</v>
      </c>
      <c r="R28" s="258"/>
      <c r="S28" s="257">
        <f ca="1">IFERROR(IF(OR(S$26="",$H28=""),"",VLOOKUP(S$26,キャラデータ,MATCH(補助シート!$I17,キャラデータカラム,0)+1,0)),0)</f>
        <v>0</v>
      </c>
      <c r="T28" s="258"/>
      <c r="U28" s="278">
        <f ca="1">IFERROR(IF(OR(S$26="",$H28=""),"",VLOOKUP(S$26,キャラデータ,MATCH(補助シート!$I17,キャラデータカラム,0)+1,0)),0)</f>
        <v>0</v>
      </c>
      <c r="V28" s="258"/>
      <c r="W28" s="257">
        <f ca="1">IFERROR(IF(OR(W$26="",$H28=""),"",VLOOKUP(W$26,キャラデータ,MATCH(補助シート!$I17,キャラデータカラム,0)+1,0)),0)</f>
        <v>1</v>
      </c>
      <c r="X28" s="258"/>
      <c r="Y28" s="278">
        <f ca="1">IFERROR(IF(OR(W$26="",$H28=""),"",VLOOKUP(W$26,キャラデータ,MATCH(補助シート!$I17,キャラデータカラム,0)+1,0)),0)</f>
        <v>1</v>
      </c>
      <c r="Z28" s="258"/>
      <c r="AA28" s="257">
        <f ca="1">IFERROR(IF(OR(AA$26="",$H28=""),"",VLOOKUP(AA$26,キャラデータ,MATCH(補助シート!$I17,キャラデータカラム,0)+1,0)),0)</f>
        <v>0</v>
      </c>
      <c r="AB28" s="258"/>
      <c r="AC28" s="278">
        <f ca="1">IFERROR(IF(OR(AA$26="",$H28=""),"",VLOOKUP(AA$26,キャラデータ,MATCH(補助シート!$I17,キャラデータカラム,0)+1,0)),0)</f>
        <v>0</v>
      </c>
      <c r="AD28" s="258"/>
      <c r="AE28" s="257">
        <f ca="1">IFERROR(IF(OR(AE$26="",$H28=""),"",VLOOKUP(AE$26,キャラデータ,MATCH(補助シート!$I17,キャラデータカラム,0)+1,0)),0)</f>
        <v>0</v>
      </c>
      <c r="AF28" s="258"/>
      <c r="AG28" s="278">
        <f ca="1">IFERROR(IF(OR(AE$26="",$H28=""),"",VLOOKUP(AE$26,キャラデータ,MATCH(補助シート!$I17,キャラデータカラム,0)+1,0)),0)</f>
        <v>0</v>
      </c>
      <c r="AH28" s="258"/>
      <c r="AI28" s="257">
        <f ca="1">IFERROR(IF(OR(AI$26="",$H28=""),"",VLOOKUP(AI$26,キャラデータ,MATCH(補助シート!$I17,キャラデータカラム,0)+1,0)),0)</f>
        <v>0</v>
      </c>
      <c r="AJ28" s="258"/>
      <c r="AK28" s="278">
        <f ca="1">IFERROR(IF(OR(AI$26="",$H28=""),"",VLOOKUP(AI$26,キャラデータ,MATCH(補助シート!$I17,キャラデータカラム,0)+1,0)),0)</f>
        <v>0</v>
      </c>
      <c r="AL28" s="258"/>
      <c r="AM28" s="257">
        <f ca="1">IFERROR(IF(OR(AM$26="",$H28=""),"",VLOOKUP(AM$26,キャラデータ,MATCH(補助シート!$I17,キャラデータカラム,0)+1,0)),0)</f>
        <v>0</v>
      </c>
      <c r="AN28" s="258"/>
      <c r="AO28" s="278">
        <f ca="1">IFERROR(IF(OR(AM$26="",$H28=""),"",VLOOKUP(AM$26,キャラデータ,MATCH(補助シート!$I17,キャラデータカラム,0)+1,0)),0)</f>
        <v>0</v>
      </c>
      <c r="AP28" s="258"/>
      <c r="AT28" s="98" t="str">
        <f t="shared" ref="AT28:AT34" ca="1" si="33">AT6</f>
        <v>ハッサン</v>
      </c>
      <c r="AU28" s="108" t="str">
        <f t="shared" ref="AU28:AV34" si="34">AU17</f>
        <v>なし</v>
      </c>
      <c r="AV28" s="108" t="str">
        <f t="shared" si="34"/>
        <v>物理</v>
      </c>
      <c r="AW28" s="257">
        <f ca="1">IFERROR(IF(OR(AW$26="",$AT28=""),"",VLOOKUP(AW$26,敵リスト,MATCH(補助シート!$AU28,敵耐性カラム,0)+11,0)),0)</f>
        <v>0</v>
      </c>
      <c r="AX28" s="258"/>
      <c r="AY28" s="257">
        <f ca="1">IFERROR(IF(OR(AW$26="",$AT28=""),"",VLOOKUP(AW$26,敵リスト,MATCH(補助シート!$AU28,敵耐性カラム,0)+11,0)),0)</f>
        <v>0</v>
      </c>
      <c r="AZ28" s="258"/>
      <c r="BA28" s="257">
        <f ca="1">IFERROR(IF(OR(BA$26="",$AT28=""),"",VLOOKUP(BA$26,敵リスト,MATCH(補助シート!$AU28,敵耐性カラム,0)+11,0)),0)</f>
        <v>0</v>
      </c>
      <c r="BB28" s="258"/>
      <c r="BC28" s="257">
        <f ca="1">IFERROR(IF(OR(BA$26="",$AT28=""),"",VLOOKUP(BA$26,敵リスト,MATCH(補助シート!$AU28,敵耐性カラム,0)+11,0)),0)</f>
        <v>0</v>
      </c>
      <c r="BD28" s="258"/>
      <c r="BE28" s="257">
        <f ca="1">IFERROR(IF(OR(BE$26="",$AT28=""),"",VLOOKUP(BE$26,敵リスト,MATCH(補助シート!$AU28,敵耐性カラム,0)+11,0)),0)</f>
        <v>0</v>
      </c>
      <c r="BF28" s="258"/>
      <c r="BG28" s="257">
        <f ca="1">IFERROR(IF(OR(BE$26="",$AT28=""),"",VLOOKUP(BE$26,敵リスト,MATCH(補助シート!$AU28,敵耐性カラム,0)+11,0)),0)</f>
        <v>0</v>
      </c>
      <c r="BH28" s="258"/>
      <c r="BI28" s="257">
        <f ca="1">IFERROR(IF(OR(BI$26="",$AT28=""),"",VLOOKUP(BI$26,敵リスト,MATCH(補助シート!$AU28,敵耐性カラム,0)+11,0)),0)</f>
        <v>0</v>
      </c>
      <c r="BJ28" s="258"/>
      <c r="BK28" s="257">
        <f ca="1">IFERROR(IF(OR(BI$26="",$AT28=""),"",VLOOKUP(BI$26,敵リスト,MATCH(補助シート!$AU28,敵耐性カラム,0)+11,0)),0)</f>
        <v>0</v>
      </c>
      <c r="BL28" s="258"/>
      <c r="BM28" s="257">
        <f ca="1">IFERROR(IF(OR(BM$26="",$AT28=""),"",VLOOKUP(BM$26,敵リスト,MATCH(補助シート!$AU28,敵耐性カラム,0)+11,0)),0)</f>
        <v>0</v>
      </c>
      <c r="BN28" s="258"/>
      <c r="BO28" s="257">
        <f ca="1">IFERROR(IF(OR(BM$26="",$AT28=""),"",VLOOKUP(BM$26,敵リスト,MATCH(補助シート!$AU28,敵耐性カラム,0)+11,0)),0)</f>
        <v>0</v>
      </c>
      <c r="BP28" s="258"/>
      <c r="BQ28" s="257">
        <f ca="1">IFERROR(IF(OR(BQ$26="",$AT28=""),"",VLOOKUP(BQ$26,敵リスト,MATCH(補助シート!$AU28,敵耐性カラム,0)+11,0)),0)</f>
        <v>0</v>
      </c>
      <c r="BR28" s="258"/>
      <c r="BS28" s="257">
        <f ca="1">IFERROR(IF(OR(BQ$26="",$AT28=""),"",VLOOKUP(BQ$26,敵リスト,MATCH(補助シート!$AU28,敵耐性カラム,0)+11,0)),0)</f>
        <v>0</v>
      </c>
      <c r="BT28" s="258"/>
      <c r="BU28" s="257">
        <f ca="1">IFERROR(IF(OR(BU$26="",$AT28=""),"",VLOOKUP(BU$26,敵リスト,MATCH(補助シート!$AU28,敵耐性カラム,0)+11,0)),0)</f>
        <v>0</v>
      </c>
      <c r="BV28" s="258"/>
      <c r="BW28" s="257">
        <f ca="1">IFERROR(IF(OR(BU$26="",$AT28=""),"",VLOOKUP(BU$26,敵リスト,MATCH(補助シート!$AU28,敵耐性カラム,0)+11,0)),0)</f>
        <v>0</v>
      </c>
      <c r="BX28" s="258"/>
      <c r="BY28" s="257">
        <f ca="1">IFERROR(IF(OR(BY$26="",$AT28=""),"",VLOOKUP(BY$26,敵リスト,MATCH(補助シート!$AU28,敵耐性カラム,0)+11,0)),0)</f>
        <v>0</v>
      </c>
      <c r="BZ28" s="258"/>
      <c r="CA28" s="257">
        <f ca="1">IFERROR(IF(OR(BY$26="",$AT28=""),"",VLOOKUP(BY$26,敵リスト,MATCH(補助シート!$AU28,敵耐性カラム,0)+11,0)),0)</f>
        <v>0</v>
      </c>
      <c r="CB28" s="258"/>
    </row>
    <row r="29" spans="2:82" x14ac:dyDescent="0.15">
      <c r="B29" s="9" t="str">
        <f t="shared" ca="1" si="0"/>
        <v>ミラルゴ</v>
      </c>
      <c r="C29" s="9">
        <f t="shared" ca="1" si="1"/>
        <v>24</v>
      </c>
      <c r="D29" s="9">
        <v>187</v>
      </c>
      <c r="F29" s="9">
        <v>-3</v>
      </c>
      <c r="H29" s="98" t="str">
        <f t="shared" ca="1" si="32"/>
        <v>デスタムーア3</v>
      </c>
      <c r="I29" s="108" t="str">
        <f>IF(計算!F38="","",VLOOKUP(計算!F38,敵技,4,0))</f>
        <v>雪</v>
      </c>
      <c r="J29" s="106" t="str">
        <f>IF(計算!F38="","",VLOOKUP(計算!F38,敵技,5,0))</f>
        <v>高</v>
      </c>
      <c r="K29" s="257">
        <f ca="1">IFERROR(IF(OR(K$26="",$H29=""),"",VLOOKUP(K$26,キャラデータ,MATCH(補助シート!$I18,キャラデータカラム,0)+1,0)),0)</f>
        <v>0</v>
      </c>
      <c r="L29" s="258"/>
      <c r="M29" s="278">
        <f ca="1">IFERROR(IF(OR(K$26="",$H29=""),"",VLOOKUP(K$26,キャラデータ,MATCH(補助シート!$I18,キャラデータカラム,0)+1,0)),0)</f>
        <v>0</v>
      </c>
      <c r="N29" s="258"/>
      <c r="O29" s="257">
        <f ca="1">IFERROR(IF(OR(O$26="",$H29=""),"",VLOOKUP(O$26,キャラデータ,MATCH(補助シート!$I18,キャラデータカラム,0)+1,0)),0)</f>
        <v>0</v>
      </c>
      <c r="P29" s="258"/>
      <c r="Q29" s="278">
        <f ca="1">IFERROR(IF(OR(O$26="",$H29=""),"",VLOOKUP(O$26,キャラデータ,MATCH(補助シート!$I18,キャラデータカラム,0)+1,0)),0)</f>
        <v>0</v>
      </c>
      <c r="R29" s="258"/>
      <c r="S29" s="257">
        <f ca="1">IFERROR(IF(OR(S$26="",$H29=""),"",VLOOKUP(S$26,キャラデータ,MATCH(補助シート!$I18,キャラデータカラム,0)+1,0)),0)</f>
        <v>0</v>
      </c>
      <c r="T29" s="258"/>
      <c r="U29" s="278">
        <f ca="1">IFERROR(IF(OR(S$26="",$H29=""),"",VLOOKUP(S$26,キャラデータ,MATCH(補助シート!$I18,キャラデータカラム,0)+1,0)),0)</f>
        <v>0</v>
      </c>
      <c r="V29" s="258"/>
      <c r="W29" s="257">
        <f ca="1">IFERROR(IF(OR(W$26="",$H29=""),"",VLOOKUP(W$26,キャラデータ,MATCH(補助シート!$I18,キャラデータカラム,0)+1,0)),0)</f>
        <v>0</v>
      </c>
      <c r="X29" s="258"/>
      <c r="Y29" s="278">
        <f ca="1">IFERROR(IF(OR(W$26="",$H29=""),"",VLOOKUP(W$26,キャラデータ,MATCH(補助シート!$I18,キャラデータカラム,0)+1,0)),0)</f>
        <v>0</v>
      </c>
      <c r="Z29" s="258"/>
      <c r="AA29" s="257">
        <f ca="1">IFERROR(IF(OR(AA$26="",$H29=""),"",VLOOKUP(AA$26,キャラデータ,MATCH(補助シート!$I18,キャラデータカラム,0)+1,0)),0)</f>
        <v>0</v>
      </c>
      <c r="AB29" s="258"/>
      <c r="AC29" s="278">
        <f ca="1">IFERROR(IF(OR(AA$26="",$H29=""),"",VLOOKUP(AA$26,キャラデータ,MATCH(補助シート!$I18,キャラデータカラム,0)+1,0)),0)</f>
        <v>0</v>
      </c>
      <c r="AD29" s="258"/>
      <c r="AE29" s="257">
        <f ca="1">IFERROR(IF(OR(AE$26="",$H29=""),"",VLOOKUP(AE$26,キャラデータ,MATCH(補助シート!$I18,キャラデータカラム,0)+1,0)),0)</f>
        <v>0</v>
      </c>
      <c r="AF29" s="258"/>
      <c r="AG29" s="278">
        <f ca="1">IFERROR(IF(OR(AE$26="",$H29=""),"",VLOOKUP(AE$26,キャラデータ,MATCH(補助シート!$I18,キャラデータカラム,0)+1,0)),0)</f>
        <v>0</v>
      </c>
      <c r="AH29" s="258"/>
      <c r="AI29" s="257">
        <f ca="1">IFERROR(IF(OR(AI$26="",$H29=""),"",VLOOKUP(AI$26,キャラデータ,MATCH(補助シート!$I18,キャラデータカラム,0)+1,0)),0)</f>
        <v>0</v>
      </c>
      <c r="AJ29" s="258"/>
      <c r="AK29" s="278">
        <f ca="1">IFERROR(IF(OR(AI$26="",$H29=""),"",VLOOKUP(AI$26,キャラデータ,MATCH(補助シート!$I18,キャラデータカラム,0)+1,0)),0)</f>
        <v>0</v>
      </c>
      <c r="AL29" s="258"/>
      <c r="AM29" s="257">
        <f ca="1">IFERROR(IF(OR(AM$26="",$H29=""),"",VLOOKUP(AM$26,キャラデータ,MATCH(補助シート!$I18,キャラデータカラム,0)+1,0)),0)</f>
        <v>0</v>
      </c>
      <c r="AN29" s="258"/>
      <c r="AO29" s="278">
        <f ca="1">IFERROR(IF(OR(AM$26="",$H29=""),"",VLOOKUP(AM$26,キャラデータ,MATCH(補助シート!$I18,キャラデータカラム,0)+1,0)),0)</f>
        <v>0</v>
      </c>
      <c r="AP29" s="258"/>
      <c r="AT29" s="98" t="str">
        <f t="shared" ca="1" si="33"/>
        <v>ミレーユ</v>
      </c>
      <c r="AU29" s="108" t="str">
        <f t="shared" si="34"/>
        <v/>
      </c>
      <c r="AV29" s="108" t="str">
        <f t="shared" si="34"/>
        <v/>
      </c>
      <c r="AW29" s="257">
        <f ca="1">IFERROR(IF(OR(AW$26="",$AT29=""),"",VLOOKUP(AW$26,敵リスト,MATCH(補助シート!$AU29,敵耐性カラム,0)+11,0)),0)</f>
        <v>0</v>
      </c>
      <c r="AX29" s="258"/>
      <c r="AY29" s="257">
        <f ca="1">IFERROR(IF(OR(AW$26="",$AT29=""),"",VLOOKUP(AW$26,敵リスト,MATCH(補助シート!$AU29,敵耐性カラム,0)+11,0)),0)</f>
        <v>0</v>
      </c>
      <c r="AZ29" s="258"/>
      <c r="BA29" s="257">
        <f ca="1">IFERROR(IF(OR(BA$26="",$AT29=""),"",VLOOKUP(BA$26,敵リスト,MATCH(補助シート!$AU29,敵耐性カラム,0)+11,0)),0)</f>
        <v>0</v>
      </c>
      <c r="BB29" s="258"/>
      <c r="BC29" s="257">
        <f ca="1">IFERROR(IF(OR(BA$26="",$AT29=""),"",VLOOKUP(BA$26,敵リスト,MATCH(補助シート!$AU29,敵耐性カラム,0)+11,0)),0)</f>
        <v>0</v>
      </c>
      <c r="BD29" s="258"/>
      <c r="BE29" s="257">
        <f ca="1">IFERROR(IF(OR(BE$26="",$AT29=""),"",VLOOKUP(BE$26,敵リスト,MATCH(補助シート!$AU29,敵耐性カラム,0)+11,0)),0)</f>
        <v>0</v>
      </c>
      <c r="BF29" s="258"/>
      <c r="BG29" s="257">
        <f ca="1">IFERROR(IF(OR(BE$26="",$AT29=""),"",VLOOKUP(BE$26,敵リスト,MATCH(補助シート!$AU29,敵耐性カラム,0)+11,0)),0)</f>
        <v>0</v>
      </c>
      <c r="BH29" s="258"/>
      <c r="BI29" s="257">
        <f ca="1">IFERROR(IF(OR(BI$26="",$AT29=""),"",VLOOKUP(BI$26,敵リスト,MATCH(補助シート!$AU29,敵耐性カラム,0)+11,0)),0)</f>
        <v>0</v>
      </c>
      <c r="BJ29" s="258"/>
      <c r="BK29" s="257">
        <f ca="1">IFERROR(IF(OR(BI$26="",$AT29=""),"",VLOOKUP(BI$26,敵リスト,MATCH(補助シート!$AU29,敵耐性カラム,0)+11,0)),0)</f>
        <v>0</v>
      </c>
      <c r="BL29" s="258"/>
      <c r="BM29" s="257">
        <f ca="1">IFERROR(IF(OR(BM$26="",$AT29=""),"",VLOOKUP(BM$26,敵リスト,MATCH(補助シート!$AU29,敵耐性カラム,0)+11,0)),0)</f>
        <v>0</v>
      </c>
      <c r="BN29" s="258"/>
      <c r="BO29" s="257">
        <f ca="1">IFERROR(IF(OR(BM$26="",$AT29=""),"",VLOOKUP(BM$26,敵リスト,MATCH(補助シート!$AU29,敵耐性カラム,0)+11,0)),0)</f>
        <v>0</v>
      </c>
      <c r="BP29" s="258"/>
      <c r="BQ29" s="257">
        <f ca="1">IFERROR(IF(OR(BQ$26="",$AT29=""),"",VLOOKUP(BQ$26,敵リスト,MATCH(補助シート!$AU29,敵耐性カラム,0)+11,0)),0)</f>
        <v>0</v>
      </c>
      <c r="BR29" s="258"/>
      <c r="BS29" s="257">
        <f ca="1">IFERROR(IF(OR(BQ$26="",$AT29=""),"",VLOOKUP(BQ$26,敵リスト,MATCH(補助シート!$AU29,敵耐性カラム,0)+11,0)),0)</f>
        <v>0</v>
      </c>
      <c r="BT29" s="258"/>
      <c r="BU29" s="257">
        <f ca="1">IFERROR(IF(OR(BU$26="",$AT29=""),"",VLOOKUP(BU$26,敵リスト,MATCH(補助シート!$AU29,敵耐性カラム,0)+11,0)),0)</f>
        <v>0</v>
      </c>
      <c r="BV29" s="258"/>
      <c r="BW29" s="257">
        <f ca="1">IFERROR(IF(OR(BU$26="",$AT29=""),"",VLOOKUP(BU$26,敵リスト,MATCH(補助シート!$AU29,敵耐性カラム,0)+11,0)),0)</f>
        <v>0</v>
      </c>
      <c r="BX29" s="258"/>
      <c r="BY29" s="257">
        <f ca="1">IFERROR(IF(OR(BY$26="",$AT29=""),"",VLOOKUP(BY$26,敵リスト,MATCH(補助シート!$AU29,敵耐性カラム,0)+11,0)),0)</f>
        <v>0</v>
      </c>
      <c r="BZ29" s="258"/>
      <c r="CA29" s="257">
        <f ca="1">IFERROR(IF(OR(BY$26="",$AT29=""),"",VLOOKUP(BY$26,敵リスト,MATCH(補助シート!$AU29,敵耐性カラム,0)+11,0)),0)</f>
        <v>0</v>
      </c>
      <c r="CB29" s="258"/>
    </row>
    <row r="30" spans="2:82" x14ac:dyDescent="0.15">
      <c r="B30" s="9" t="str">
        <f ca="1">INDIRECT("基本ステータス!$C"&amp;$D30)</f>
        <v>グラコス</v>
      </c>
      <c r="C30" s="9">
        <f t="shared" ca="1" si="1"/>
        <v>25</v>
      </c>
      <c r="D30" s="9">
        <v>195</v>
      </c>
      <c r="F30" s="9">
        <v>-4</v>
      </c>
      <c r="H30" s="98" t="str">
        <f t="shared" ca="1" si="32"/>
        <v>デスタムーア3</v>
      </c>
      <c r="I30" s="108" t="str">
        <f>IF(計算!F39="","",VLOOKUP(計算!F39,敵技,4,0))</f>
        <v>イ</v>
      </c>
      <c r="J30" s="106" t="str">
        <f>IF(計算!F39="","",VLOOKUP(計算!F39,敵技,5,0))</f>
        <v>中</v>
      </c>
      <c r="K30" s="257">
        <f ca="1">IFERROR(IF(OR(K$26="",$H30=""),"",VLOOKUP(K$26,キャラデータ,MATCH(補助シート!$I19,キャラデータカラム,0)+1,0)),0)</f>
        <v>0</v>
      </c>
      <c r="L30" s="258"/>
      <c r="M30" s="278">
        <f ca="1">IFERROR(IF(OR(K$26="",$H30=""),"",VLOOKUP(K$26,キャラデータ,MATCH(補助シート!$I19,キャラデータカラム,0)+1,0)),0)</f>
        <v>0</v>
      </c>
      <c r="N30" s="258"/>
      <c r="O30" s="257">
        <f ca="1">IFERROR(IF(OR(O$26="",$H30=""),"",VLOOKUP(O$26,キャラデータ,MATCH(補助シート!$I19,キャラデータカラム,0)+1,0)),0)</f>
        <v>0</v>
      </c>
      <c r="P30" s="258"/>
      <c r="Q30" s="278">
        <f ca="1">IFERROR(IF(OR(O$26="",$H30=""),"",VLOOKUP(O$26,キャラデータ,MATCH(補助シート!$I19,キャラデータカラム,0)+1,0)),0)</f>
        <v>0</v>
      </c>
      <c r="R30" s="258"/>
      <c r="S30" s="257">
        <f ca="1">IFERROR(IF(OR(S$26="",$H30=""),"",VLOOKUP(S$26,キャラデータ,MATCH(補助シート!$I19,キャラデータカラム,0)+1,0)),0)</f>
        <v>0</v>
      </c>
      <c r="T30" s="258"/>
      <c r="U30" s="278">
        <f ca="1">IFERROR(IF(OR(S$26="",$H30=""),"",VLOOKUP(S$26,キャラデータ,MATCH(補助シート!$I19,キャラデータカラム,0)+1,0)),0)</f>
        <v>0</v>
      </c>
      <c r="V30" s="258"/>
      <c r="W30" s="257">
        <f ca="1">IFERROR(IF(OR(W$26="",$H30=""),"",VLOOKUP(W$26,キャラデータ,MATCH(補助シート!$I19,キャラデータカラム,0)+1,0)),0)</f>
        <v>1</v>
      </c>
      <c r="X30" s="258"/>
      <c r="Y30" s="278">
        <f ca="1">IFERROR(IF(OR(W$26="",$H30=""),"",VLOOKUP(W$26,キャラデータ,MATCH(補助シート!$I19,キャラデータカラム,0)+1,0)),0)</f>
        <v>1</v>
      </c>
      <c r="Z30" s="258"/>
      <c r="AA30" s="257">
        <f ca="1">IFERROR(IF(OR(AA$26="",$H30=""),"",VLOOKUP(AA$26,キャラデータ,MATCH(補助シート!$I19,キャラデータカラム,0)+1,0)),0)</f>
        <v>0</v>
      </c>
      <c r="AB30" s="258"/>
      <c r="AC30" s="278">
        <f ca="1">IFERROR(IF(OR(AA$26="",$H30=""),"",VLOOKUP(AA$26,キャラデータ,MATCH(補助シート!$I19,キャラデータカラム,0)+1,0)),0)</f>
        <v>0</v>
      </c>
      <c r="AD30" s="258"/>
      <c r="AE30" s="257">
        <f ca="1">IFERROR(IF(OR(AE$26="",$H30=""),"",VLOOKUP(AE$26,キャラデータ,MATCH(補助シート!$I19,キャラデータカラム,0)+1,0)),0)</f>
        <v>0</v>
      </c>
      <c r="AF30" s="258"/>
      <c r="AG30" s="278">
        <f ca="1">IFERROR(IF(OR(AE$26="",$H30=""),"",VLOOKUP(AE$26,キャラデータ,MATCH(補助シート!$I19,キャラデータカラム,0)+1,0)),0)</f>
        <v>0</v>
      </c>
      <c r="AH30" s="258"/>
      <c r="AI30" s="257">
        <f ca="1">IFERROR(IF(OR(AI$26="",$H30=""),"",VLOOKUP(AI$26,キャラデータ,MATCH(補助シート!$I19,キャラデータカラム,0)+1,0)),0)</f>
        <v>0</v>
      </c>
      <c r="AJ30" s="258"/>
      <c r="AK30" s="278">
        <f ca="1">IFERROR(IF(OR(AI$26="",$H30=""),"",VLOOKUP(AI$26,キャラデータ,MATCH(補助シート!$I19,キャラデータカラム,0)+1,0)),0)</f>
        <v>0</v>
      </c>
      <c r="AL30" s="258"/>
      <c r="AM30" s="257">
        <f ca="1">IFERROR(IF(OR(AM$26="",$H30=""),"",VLOOKUP(AM$26,キャラデータ,MATCH(補助シート!$I19,キャラデータカラム,0)+1,0)),0)</f>
        <v>0</v>
      </c>
      <c r="AN30" s="258"/>
      <c r="AO30" s="278">
        <f ca="1">IFERROR(IF(OR(AM$26="",$H30=""),"",VLOOKUP(AM$26,キャラデータ,MATCH(補助シート!$I19,キャラデータカラム,0)+1,0)),0)</f>
        <v>0</v>
      </c>
      <c r="AP30" s="258"/>
      <c r="AT30" s="98" t="str">
        <f t="shared" ca="1" si="33"/>
        <v>バーバラ</v>
      </c>
      <c r="AU30" s="108" t="str">
        <f t="shared" si="34"/>
        <v/>
      </c>
      <c r="AV30" s="108" t="str">
        <f t="shared" si="34"/>
        <v/>
      </c>
      <c r="AW30" s="257">
        <f ca="1">IFERROR(IF(OR(AW$26="",$AT30=""),"",VLOOKUP(AW$26,敵リスト,MATCH(補助シート!$AU30,敵耐性カラム,0)+11,0)),0)</f>
        <v>0</v>
      </c>
      <c r="AX30" s="258"/>
      <c r="AY30" s="257">
        <f ca="1">IFERROR(IF(OR(AW$26="",$AT30=""),"",VLOOKUP(AW$26,敵リスト,MATCH(補助シート!$AU30,敵耐性カラム,0)+11,0)),0)</f>
        <v>0</v>
      </c>
      <c r="AZ30" s="258"/>
      <c r="BA30" s="257">
        <f ca="1">IFERROR(IF(OR(BA$26="",$AT30=""),"",VLOOKUP(BA$26,敵リスト,MATCH(補助シート!$AU30,敵耐性カラム,0)+11,0)),0)</f>
        <v>0</v>
      </c>
      <c r="BB30" s="258"/>
      <c r="BC30" s="257">
        <f ca="1">IFERROR(IF(OR(BA$26="",$AT30=""),"",VLOOKUP(BA$26,敵リスト,MATCH(補助シート!$AU30,敵耐性カラム,0)+11,0)),0)</f>
        <v>0</v>
      </c>
      <c r="BD30" s="258"/>
      <c r="BE30" s="257">
        <f ca="1">IFERROR(IF(OR(BE$26="",$AT30=""),"",VLOOKUP(BE$26,敵リスト,MATCH(補助シート!$AU30,敵耐性カラム,0)+11,0)),0)</f>
        <v>0</v>
      </c>
      <c r="BF30" s="258"/>
      <c r="BG30" s="257">
        <f ca="1">IFERROR(IF(OR(BE$26="",$AT30=""),"",VLOOKUP(BE$26,敵リスト,MATCH(補助シート!$AU30,敵耐性カラム,0)+11,0)),0)</f>
        <v>0</v>
      </c>
      <c r="BH30" s="258"/>
      <c r="BI30" s="257">
        <f ca="1">IFERROR(IF(OR(BI$26="",$AT30=""),"",VLOOKUP(BI$26,敵リスト,MATCH(補助シート!$AU30,敵耐性カラム,0)+11,0)),0)</f>
        <v>0</v>
      </c>
      <c r="BJ30" s="258"/>
      <c r="BK30" s="257">
        <f ca="1">IFERROR(IF(OR(BI$26="",$AT30=""),"",VLOOKUP(BI$26,敵リスト,MATCH(補助シート!$AU30,敵耐性カラム,0)+11,0)),0)</f>
        <v>0</v>
      </c>
      <c r="BL30" s="258"/>
      <c r="BM30" s="257">
        <f ca="1">IFERROR(IF(OR(BM$26="",$AT30=""),"",VLOOKUP(BM$26,敵リスト,MATCH(補助シート!$AU30,敵耐性カラム,0)+11,0)),0)</f>
        <v>0</v>
      </c>
      <c r="BN30" s="258"/>
      <c r="BO30" s="257">
        <f ca="1">IFERROR(IF(OR(BM$26="",$AT30=""),"",VLOOKUP(BM$26,敵リスト,MATCH(補助シート!$AU30,敵耐性カラム,0)+11,0)),0)</f>
        <v>0</v>
      </c>
      <c r="BP30" s="258"/>
      <c r="BQ30" s="257">
        <f ca="1">IFERROR(IF(OR(BQ$26="",$AT30=""),"",VLOOKUP(BQ$26,敵リスト,MATCH(補助シート!$AU30,敵耐性カラム,0)+11,0)),0)</f>
        <v>0</v>
      </c>
      <c r="BR30" s="258"/>
      <c r="BS30" s="257">
        <f ca="1">IFERROR(IF(OR(BQ$26="",$AT30=""),"",VLOOKUP(BQ$26,敵リスト,MATCH(補助シート!$AU30,敵耐性カラム,0)+11,0)),0)</f>
        <v>0</v>
      </c>
      <c r="BT30" s="258"/>
      <c r="BU30" s="257">
        <f ca="1">IFERROR(IF(OR(BU$26="",$AT30=""),"",VLOOKUP(BU$26,敵リスト,MATCH(補助シート!$AU30,敵耐性カラム,0)+11,0)),0)</f>
        <v>0</v>
      </c>
      <c r="BV30" s="258"/>
      <c r="BW30" s="257">
        <f ca="1">IFERROR(IF(OR(BU$26="",$AT30=""),"",VLOOKUP(BU$26,敵リスト,MATCH(補助シート!$AU30,敵耐性カラム,0)+11,0)),0)</f>
        <v>0</v>
      </c>
      <c r="BX30" s="258"/>
      <c r="BY30" s="257">
        <f ca="1">IFERROR(IF(OR(BY$26="",$AT30=""),"",VLOOKUP(BY$26,敵リスト,MATCH(補助シート!$AU30,敵耐性カラム,0)+11,0)),0)</f>
        <v>0</v>
      </c>
      <c r="BZ30" s="258"/>
      <c r="CA30" s="257">
        <f ca="1">IFERROR(IF(OR(BY$26="",$AT30=""),"",VLOOKUP(BY$26,敵リスト,MATCH(補助シート!$AU30,敵耐性カラム,0)+11,0)),0)</f>
        <v>0</v>
      </c>
      <c r="CB30" s="258"/>
    </row>
    <row r="31" spans="2:82" x14ac:dyDescent="0.15">
      <c r="B31" s="9" t="str">
        <f t="shared" ca="1" si="0"/>
        <v>ライフコッド</v>
      </c>
      <c r="C31" s="9">
        <f t="shared" ca="1" si="1"/>
        <v>26</v>
      </c>
      <c r="D31" s="9">
        <v>203</v>
      </c>
      <c r="F31" s="9">
        <v>-5</v>
      </c>
      <c r="H31" s="98" t="str">
        <f t="shared" ca="1" si="32"/>
        <v>デスタムーア3</v>
      </c>
      <c r="I31" s="108" t="str">
        <f>IF(計算!F40="","",VLOOKUP(計算!F40,敵技,4,0))</f>
        <v>炎</v>
      </c>
      <c r="J31" s="106" t="str">
        <f>IF(計算!F40="","",VLOOKUP(計算!F40,敵技,5,0))</f>
        <v>高</v>
      </c>
      <c r="K31" s="257">
        <f ca="1">IFERROR(IF(OR(K$26="",$H31=""),"",VLOOKUP(K$26,キャラデータ,MATCH(補助シート!$I20,キャラデータカラム,0)+1,0)),0)</f>
        <v>0</v>
      </c>
      <c r="L31" s="258"/>
      <c r="M31" s="278">
        <f ca="1">IFERROR(IF(OR(K$26="",$H31=""),"",VLOOKUP(K$26,キャラデータ,MATCH(補助シート!$I20,キャラデータカラム,0)+1,0)),0)</f>
        <v>0</v>
      </c>
      <c r="N31" s="258"/>
      <c r="O31" s="257">
        <f ca="1">IFERROR(IF(OR(O$26="",$H31=""),"",VLOOKUP(O$26,キャラデータ,MATCH(補助シート!$I20,キャラデータカラム,0)+1,0)),0)</f>
        <v>0</v>
      </c>
      <c r="P31" s="258"/>
      <c r="Q31" s="278">
        <f ca="1">IFERROR(IF(OR(O$26="",$H31=""),"",VLOOKUP(O$26,キャラデータ,MATCH(補助シート!$I20,キャラデータカラム,0)+1,0)),0)</f>
        <v>0</v>
      </c>
      <c r="R31" s="258"/>
      <c r="S31" s="257">
        <f ca="1">IFERROR(IF(OR(S$26="",$H31=""),"",VLOOKUP(S$26,キャラデータ,MATCH(補助シート!$I20,キャラデータカラム,0)+1,0)),0)</f>
        <v>0</v>
      </c>
      <c r="T31" s="258"/>
      <c r="U31" s="278">
        <f ca="1">IFERROR(IF(OR(S$26="",$H31=""),"",VLOOKUP(S$26,キャラデータ,MATCH(補助シート!$I20,キャラデータカラム,0)+1,0)),0)</f>
        <v>0</v>
      </c>
      <c r="V31" s="258"/>
      <c r="W31" s="257">
        <f ca="1">IFERROR(IF(OR(W$26="",$H31=""),"",VLOOKUP(W$26,キャラデータ,MATCH(補助シート!$I20,キャラデータカラム,0)+1,0)),0)</f>
        <v>0</v>
      </c>
      <c r="X31" s="258"/>
      <c r="Y31" s="278">
        <f ca="1">IFERROR(IF(OR(W$26="",$H31=""),"",VLOOKUP(W$26,キャラデータ,MATCH(補助シート!$I20,キャラデータカラム,0)+1,0)),0)</f>
        <v>0</v>
      </c>
      <c r="Z31" s="258"/>
      <c r="AA31" s="257">
        <f ca="1">IFERROR(IF(OR(AA$26="",$H31=""),"",VLOOKUP(AA$26,キャラデータ,MATCH(補助シート!$I20,キャラデータカラム,0)+1,0)),0)</f>
        <v>0</v>
      </c>
      <c r="AB31" s="258"/>
      <c r="AC31" s="278">
        <f ca="1">IFERROR(IF(OR(AA$26="",$H31=""),"",VLOOKUP(AA$26,キャラデータ,MATCH(補助シート!$I20,キャラデータカラム,0)+1,0)),0)</f>
        <v>0</v>
      </c>
      <c r="AD31" s="258"/>
      <c r="AE31" s="257">
        <f ca="1">IFERROR(IF(OR(AE$26="",$H31=""),"",VLOOKUP(AE$26,キャラデータ,MATCH(補助シート!$I20,キャラデータカラム,0)+1,0)),0)</f>
        <v>0</v>
      </c>
      <c r="AF31" s="258"/>
      <c r="AG31" s="278">
        <f ca="1">IFERROR(IF(OR(AE$26="",$H31=""),"",VLOOKUP(AE$26,キャラデータ,MATCH(補助シート!$I20,キャラデータカラム,0)+1,0)),0)</f>
        <v>0</v>
      </c>
      <c r="AH31" s="258"/>
      <c r="AI31" s="257">
        <f ca="1">IFERROR(IF(OR(AI$26="",$H31=""),"",VLOOKUP(AI$26,キャラデータ,MATCH(補助シート!$I20,キャラデータカラム,0)+1,0)),0)</f>
        <v>0</v>
      </c>
      <c r="AJ31" s="258"/>
      <c r="AK31" s="278">
        <f ca="1">IFERROR(IF(OR(AI$26="",$H31=""),"",VLOOKUP(AI$26,キャラデータ,MATCH(補助シート!$I20,キャラデータカラム,0)+1,0)),0)</f>
        <v>0</v>
      </c>
      <c r="AL31" s="258"/>
      <c r="AM31" s="257">
        <f ca="1">IFERROR(IF(OR(AM$26="",$H31=""),"",VLOOKUP(AM$26,キャラデータ,MATCH(補助シート!$I20,キャラデータカラム,0)+1,0)),0)</f>
        <v>0</v>
      </c>
      <c r="AN31" s="258"/>
      <c r="AO31" s="278">
        <f ca="1">IFERROR(IF(OR(AM$26="",$H31=""),"",VLOOKUP(AM$26,キャラデータ,MATCH(補助シート!$I20,キャラデータカラム,0)+1,0)),0)</f>
        <v>0</v>
      </c>
      <c r="AP31" s="258"/>
      <c r="AT31" s="98" t="str">
        <f t="shared" ca="1" si="33"/>
        <v>チャモロ</v>
      </c>
      <c r="AU31" s="108" t="str">
        <f t="shared" si="34"/>
        <v/>
      </c>
      <c r="AV31" s="108" t="str">
        <f t="shared" si="34"/>
        <v/>
      </c>
      <c r="AW31" s="257">
        <f ca="1">IFERROR(IF(OR(AW$26="",$AT31=""),"",VLOOKUP(AW$26,敵リスト,MATCH(補助シート!$AU31,敵耐性カラム,0)+11,0)),0)</f>
        <v>0</v>
      </c>
      <c r="AX31" s="258"/>
      <c r="AY31" s="257">
        <f ca="1">IFERROR(IF(OR(AW$26="",$AT31=""),"",VLOOKUP(AW$26,敵リスト,MATCH(補助シート!$AU31,敵耐性カラム,0)+11,0)),0)</f>
        <v>0</v>
      </c>
      <c r="AZ31" s="258"/>
      <c r="BA31" s="257">
        <f ca="1">IFERROR(IF(OR(BA$26="",$AT31=""),"",VLOOKUP(BA$26,敵リスト,MATCH(補助シート!$AU31,敵耐性カラム,0)+11,0)),0)</f>
        <v>0</v>
      </c>
      <c r="BB31" s="258"/>
      <c r="BC31" s="257">
        <f ca="1">IFERROR(IF(OR(BA$26="",$AT31=""),"",VLOOKUP(BA$26,敵リスト,MATCH(補助シート!$AU31,敵耐性カラム,0)+11,0)),0)</f>
        <v>0</v>
      </c>
      <c r="BD31" s="258"/>
      <c r="BE31" s="257">
        <f ca="1">IFERROR(IF(OR(BE$26="",$AT31=""),"",VLOOKUP(BE$26,敵リスト,MATCH(補助シート!$AU31,敵耐性カラム,0)+11,0)),0)</f>
        <v>0</v>
      </c>
      <c r="BF31" s="258"/>
      <c r="BG31" s="257">
        <f ca="1">IFERROR(IF(OR(BE$26="",$AT31=""),"",VLOOKUP(BE$26,敵リスト,MATCH(補助シート!$AU31,敵耐性カラム,0)+11,0)),0)</f>
        <v>0</v>
      </c>
      <c r="BH31" s="258"/>
      <c r="BI31" s="257">
        <f ca="1">IFERROR(IF(OR(BI$26="",$AT31=""),"",VLOOKUP(BI$26,敵リスト,MATCH(補助シート!$AU31,敵耐性カラム,0)+11,0)),0)</f>
        <v>0</v>
      </c>
      <c r="BJ31" s="258"/>
      <c r="BK31" s="257">
        <f ca="1">IFERROR(IF(OR(BI$26="",$AT31=""),"",VLOOKUP(BI$26,敵リスト,MATCH(補助シート!$AU31,敵耐性カラム,0)+11,0)),0)</f>
        <v>0</v>
      </c>
      <c r="BL31" s="258"/>
      <c r="BM31" s="257">
        <f ca="1">IFERROR(IF(OR(BM$26="",$AT31=""),"",VLOOKUP(BM$26,敵リスト,MATCH(補助シート!$AU31,敵耐性カラム,0)+11,0)),0)</f>
        <v>0</v>
      </c>
      <c r="BN31" s="258"/>
      <c r="BO31" s="257">
        <f ca="1">IFERROR(IF(OR(BM$26="",$AT31=""),"",VLOOKUP(BM$26,敵リスト,MATCH(補助シート!$AU31,敵耐性カラム,0)+11,0)),0)</f>
        <v>0</v>
      </c>
      <c r="BP31" s="258"/>
      <c r="BQ31" s="257">
        <f ca="1">IFERROR(IF(OR(BQ$26="",$AT31=""),"",VLOOKUP(BQ$26,敵リスト,MATCH(補助シート!$AU31,敵耐性カラム,0)+11,0)),0)</f>
        <v>0</v>
      </c>
      <c r="BR31" s="258"/>
      <c r="BS31" s="257">
        <f ca="1">IFERROR(IF(OR(BQ$26="",$AT31=""),"",VLOOKUP(BQ$26,敵リスト,MATCH(補助シート!$AU31,敵耐性カラム,0)+11,0)),0)</f>
        <v>0</v>
      </c>
      <c r="BT31" s="258"/>
      <c r="BU31" s="257">
        <f ca="1">IFERROR(IF(OR(BU$26="",$AT31=""),"",VLOOKUP(BU$26,敵リスト,MATCH(補助シート!$AU31,敵耐性カラム,0)+11,0)),0)</f>
        <v>0</v>
      </c>
      <c r="BV31" s="258"/>
      <c r="BW31" s="257">
        <f ca="1">IFERROR(IF(OR(BU$26="",$AT31=""),"",VLOOKUP(BU$26,敵リスト,MATCH(補助シート!$AU31,敵耐性カラム,0)+11,0)),0)</f>
        <v>0</v>
      </c>
      <c r="BX31" s="258"/>
      <c r="BY31" s="257">
        <f ca="1">IFERROR(IF(OR(BY$26="",$AT31=""),"",VLOOKUP(BY$26,敵リスト,MATCH(補助シート!$AU31,敵耐性カラム,0)+11,0)),0)</f>
        <v>0</v>
      </c>
      <c r="BZ31" s="258"/>
      <c r="CA31" s="257">
        <f ca="1">IFERROR(IF(OR(BY$26="",$AT31=""),"",VLOOKUP(BY$26,敵リスト,MATCH(補助シート!$AU31,敵耐性カラム,0)+11,0)),0)</f>
        <v>0</v>
      </c>
      <c r="CB31" s="258"/>
    </row>
    <row r="32" spans="2:82" x14ac:dyDescent="0.15">
      <c r="B32" s="9" t="str">
        <f t="shared" ca="1" si="0"/>
        <v>まおうのつかい</v>
      </c>
      <c r="C32" s="9">
        <f t="shared" ca="1" si="1"/>
        <v>27</v>
      </c>
      <c r="D32" s="9">
        <v>211</v>
      </c>
      <c r="F32" s="10">
        <v>-6</v>
      </c>
      <c r="H32" s="98" t="str">
        <f t="shared" ca="1" si="32"/>
        <v>ひだりて</v>
      </c>
      <c r="I32" s="108" t="str">
        <f>IF(計算!F41="","",VLOOKUP(計算!F41,敵技,4,0))</f>
        <v>叩</v>
      </c>
      <c r="J32" s="106" t="str">
        <f>IF(計算!F41="","",VLOOKUP(計算!F41,敵技,5,0))</f>
        <v>物理</v>
      </c>
      <c r="K32" s="257">
        <f ca="1">IFERROR(IF(OR(K$26="",$H32=""),"",VLOOKUP(K$26,キャラデータ,MATCH(補助シート!$I21,キャラデータカラム,0)+1,0)),0)</f>
        <v>0</v>
      </c>
      <c r="L32" s="258"/>
      <c r="M32" s="278">
        <f ca="1">IFERROR(IF(OR(K$26="",$H32=""),"",VLOOKUP(K$26,キャラデータ,MATCH(補助シート!$I21,キャラデータカラム,0)+1,0)),0)</f>
        <v>0</v>
      </c>
      <c r="N32" s="258"/>
      <c r="O32" s="257">
        <f ca="1">IFERROR(IF(OR(O$26="",$H32=""),"",VLOOKUP(O$26,キャラデータ,MATCH(補助シート!$I21,キャラデータカラム,0)+1,0)),0)</f>
        <v>0</v>
      </c>
      <c r="P32" s="258"/>
      <c r="Q32" s="278">
        <f ca="1">IFERROR(IF(OR(O$26="",$H32=""),"",VLOOKUP(O$26,キャラデータ,MATCH(補助シート!$I21,キャラデータカラム,0)+1,0)),0)</f>
        <v>0</v>
      </c>
      <c r="R32" s="258"/>
      <c r="S32" s="257">
        <f ca="1">IFERROR(IF(OR(S$26="",$H32=""),"",VLOOKUP(S$26,キャラデータ,MATCH(補助シート!$I21,キャラデータカラム,0)+1,0)),0)</f>
        <v>0</v>
      </c>
      <c r="T32" s="258"/>
      <c r="U32" s="278">
        <f ca="1">IFERROR(IF(OR(S$26="",$H32=""),"",VLOOKUP(S$26,キャラデータ,MATCH(補助シート!$I21,キャラデータカラム,0)+1,0)),0)</f>
        <v>0</v>
      </c>
      <c r="V32" s="258"/>
      <c r="W32" s="257">
        <f ca="1">IFERROR(IF(OR(W$26="",$H32=""),"",VLOOKUP(W$26,キャラデータ,MATCH(補助シート!$I21,キャラデータカラム,0)+1,0)),0)</f>
        <v>0</v>
      </c>
      <c r="X32" s="258"/>
      <c r="Y32" s="278">
        <f ca="1">IFERROR(IF(OR(W$26="",$H32=""),"",VLOOKUP(W$26,キャラデータ,MATCH(補助シート!$I21,キャラデータカラム,0)+1,0)),0)</f>
        <v>0</v>
      </c>
      <c r="Z32" s="258"/>
      <c r="AA32" s="257">
        <f ca="1">IFERROR(IF(OR(AA$26="",$H32=""),"",VLOOKUP(AA$26,キャラデータ,MATCH(補助シート!$I21,キャラデータカラム,0)+1,0)),0)</f>
        <v>0</v>
      </c>
      <c r="AB32" s="258"/>
      <c r="AC32" s="278">
        <f ca="1">IFERROR(IF(OR(AA$26="",$H32=""),"",VLOOKUP(AA$26,キャラデータ,MATCH(補助シート!$I21,キャラデータカラム,0)+1,0)),0)</f>
        <v>0</v>
      </c>
      <c r="AD32" s="258"/>
      <c r="AE32" s="257">
        <f ca="1">IFERROR(IF(OR(AE$26="",$H32=""),"",VLOOKUP(AE$26,キャラデータ,MATCH(補助シート!$I21,キャラデータカラム,0)+1,0)),0)</f>
        <v>0</v>
      </c>
      <c r="AF32" s="258"/>
      <c r="AG32" s="278">
        <f ca="1">IFERROR(IF(OR(AE$26="",$H32=""),"",VLOOKUP(AE$26,キャラデータ,MATCH(補助シート!$I21,キャラデータカラム,0)+1,0)),0)</f>
        <v>0</v>
      </c>
      <c r="AH32" s="258"/>
      <c r="AI32" s="257">
        <f ca="1">IFERROR(IF(OR(AI$26="",$H32=""),"",VLOOKUP(AI$26,キャラデータ,MATCH(補助シート!$I21,キャラデータカラム,0)+1,0)),0)</f>
        <v>0</v>
      </c>
      <c r="AJ32" s="258"/>
      <c r="AK32" s="278">
        <f ca="1">IFERROR(IF(OR(AI$26="",$H32=""),"",VLOOKUP(AI$26,キャラデータ,MATCH(補助シート!$I21,キャラデータカラム,0)+1,0)),0)</f>
        <v>0</v>
      </c>
      <c r="AL32" s="258"/>
      <c r="AM32" s="257">
        <f ca="1">IFERROR(IF(OR(AM$26="",$H32=""),"",VLOOKUP(AM$26,キャラデータ,MATCH(補助シート!$I21,キャラデータカラム,0)+1,0)),0)</f>
        <v>0</v>
      </c>
      <c r="AN32" s="258"/>
      <c r="AO32" s="278">
        <f ca="1">IFERROR(IF(OR(AM$26="",$H32=""),"",VLOOKUP(AM$26,キャラデータ,MATCH(補助シート!$I21,キャラデータカラム,0)+1,0)),0)</f>
        <v>0</v>
      </c>
      <c r="AP32" s="258"/>
      <c r="AT32" s="98" t="str">
        <f t="shared" ca="1" si="33"/>
        <v>アモス</v>
      </c>
      <c r="AU32" s="108" t="str">
        <f t="shared" si="34"/>
        <v/>
      </c>
      <c r="AV32" s="108" t="str">
        <f t="shared" si="34"/>
        <v/>
      </c>
      <c r="AW32" s="257">
        <f ca="1">IFERROR(IF(OR(AW$26="",$AT32=""),"",VLOOKUP(AW$26,敵リスト,MATCH(補助シート!$AU32,敵耐性カラム,0)+11,0)),0)</f>
        <v>0</v>
      </c>
      <c r="AX32" s="258"/>
      <c r="AY32" s="257">
        <f ca="1">IFERROR(IF(OR(AW$26="",$AT32=""),"",VLOOKUP(AW$26,敵リスト,MATCH(補助シート!$AU32,敵耐性カラム,0)+11,0)),0)</f>
        <v>0</v>
      </c>
      <c r="AZ32" s="258"/>
      <c r="BA32" s="257">
        <f ca="1">IFERROR(IF(OR(BA$26="",$AT32=""),"",VLOOKUP(BA$26,敵リスト,MATCH(補助シート!$AU32,敵耐性カラム,0)+11,0)),0)</f>
        <v>0</v>
      </c>
      <c r="BB32" s="258"/>
      <c r="BC32" s="257">
        <f ca="1">IFERROR(IF(OR(BA$26="",$AT32=""),"",VLOOKUP(BA$26,敵リスト,MATCH(補助シート!$AU32,敵耐性カラム,0)+11,0)),0)</f>
        <v>0</v>
      </c>
      <c r="BD32" s="258"/>
      <c r="BE32" s="257">
        <f ca="1">IFERROR(IF(OR(BE$26="",$AT32=""),"",VLOOKUP(BE$26,敵リスト,MATCH(補助シート!$AU32,敵耐性カラム,0)+11,0)),0)</f>
        <v>0</v>
      </c>
      <c r="BF32" s="258"/>
      <c r="BG32" s="257">
        <f ca="1">IFERROR(IF(OR(BE$26="",$AT32=""),"",VLOOKUP(BE$26,敵リスト,MATCH(補助シート!$AU32,敵耐性カラム,0)+11,0)),0)</f>
        <v>0</v>
      </c>
      <c r="BH32" s="258"/>
      <c r="BI32" s="257">
        <f ca="1">IFERROR(IF(OR(BI$26="",$AT32=""),"",VLOOKUP(BI$26,敵リスト,MATCH(補助シート!$AU32,敵耐性カラム,0)+11,0)),0)</f>
        <v>0</v>
      </c>
      <c r="BJ32" s="258"/>
      <c r="BK32" s="257">
        <f ca="1">IFERROR(IF(OR(BI$26="",$AT32=""),"",VLOOKUP(BI$26,敵リスト,MATCH(補助シート!$AU32,敵耐性カラム,0)+11,0)),0)</f>
        <v>0</v>
      </c>
      <c r="BL32" s="258"/>
      <c r="BM32" s="257">
        <f ca="1">IFERROR(IF(OR(BM$26="",$AT32=""),"",VLOOKUP(BM$26,敵リスト,MATCH(補助シート!$AU32,敵耐性カラム,0)+11,0)),0)</f>
        <v>0</v>
      </c>
      <c r="BN32" s="258"/>
      <c r="BO32" s="257">
        <f ca="1">IFERROR(IF(OR(BM$26="",$AT32=""),"",VLOOKUP(BM$26,敵リスト,MATCH(補助シート!$AU32,敵耐性カラム,0)+11,0)),0)</f>
        <v>0</v>
      </c>
      <c r="BP32" s="258"/>
      <c r="BQ32" s="257">
        <f ca="1">IFERROR(IF(OR(BQ$26="",$AT32=""),"",VLOOKUP(BQ$26,敵リスト,MATCH(補助シート!$AU32,敵耐性カラム,0)+11,0)),0)</f>
        <v>0</v>
      </c>
      <c r="BR32" s="258"/>
      <c r="BS32" s="257">
        <f ca="1">IFERROR(IF(OR(BQ$26="",$AT32=""),"",VLOOKUP(BQ$26,敵リスト,MATCH(補助シート!$AU32,敵耐性カラム,0)+11,0)),0)</f>
        <v>0</v>
      </c>
      <c r="BT32" s="258"/>
      <c r="BU32" s="257">
        <f ca="1">IFERROR(IF(OR(BU$26="",$AT32=""),"",VLOOKUP(BU$26,敵リスト,MATCH(補助シート!$AU32,敵耐性カラム,0)+11,0)),0)</f>
        <v>0</v>
      </c>
      <c r="BV32" s="258"/>
      <c r="BW32" s="257">
        <f ca="1">IFERROR(IF(OR(BU$26="",$AT32=""),"",VLOOKUP(BU$26,敵リスト,MATCH(補助シート!$AU32,敵耐性カラム,0)+11,0)),0)</f>
        <v>0</v>
      </c>
      <c r="BX32" s="258"/>
      <c r="BY32" s="257">
        <f ca="1">IFERROR(IF(OR(BY$26="",$AT32=""),"",VLOOKUP(BY$26,敵リスト,MATCH(補助シート!$AU32,敵耐性カラム,0)+11,0)),0)</f>
        <v>0</v>
      </c>
      <c r="BZ32" s="258"/>
      <c r="CA32" s="257">
        <f ca="1">IFERROR(IF(OR(BY$26="",$AT32=""),"",VLOOKUP(BY$26,敵リスト,MATCH(補助シート!$AU32,敵耐性カラム,0)+11,0)),0)</f>
        <v>0</v>
      </c>
      <c r="CB32" s="258"/>
    </row>
    <row r="33" spans="2:80" x14ac:dyDescent="0.15">
      <c r="B33" s="9" t="str">
        <f t="shared" ca="1" si="0"/>
        <v>ヘルクラウド</v>
      </c>
      <c r="C33" s="9">
        <f t="shared" ca="1" si="1"/>
        <v>28</v>
      </c>
      <c r="D33" s="9">
        <v>219</v>
      </c>
      <c r="H33" s="98" t="str">
        <f t="shared" ca="1" si="32"/>
        <v>みぎて</v>
      </c>
      <c r="I33" s="108" t="str">
        <f>IF(計算!F42="","",VLOOKUP(計算!F42,敵技,4,0))</f>
        <v>叩</v>
      </c>
      <c r="J33" s="106" t="str">
        <f>IF(計算!F42="","",VLOOKUP(計算!F42,敵技,5,0))</f>
        <v>物理</v>
      </c>
      <c r="K33" s="257">
        <f ca="1">IFERROR(IF(OR(K$26="",$H33=""),"",VLOOKUP(K$26,キャラデータ,MATCH(補助シート!$I22,キャラデータカラム,0)+1,0)),0)</f>
        <v>0</v>
      </c>
      <c r="L33" s="258"/>
      <c r="M33" s="278">
        <f ca="1">IFERROR(IF(OR(K$26="",$H33=""),"",VLOOKUP(K$26,キャラデータ,MATCH(補助シート!$I22,キャラデータカラム,0)+1,0)),0)</f>
        <v>0</v>
      </c>
      <c r="N33" s="258"/>
      <c r="O33" s="257">
        <f ca="1">IFERROR(IF(OR(O$26="",$H33=""),"",VLOOKUP(O$26,キャラデータ,MATCH(補助シート!$I22,キャラデータカラム,0)+1,0)),0)</f>
        <v>0</v>
      </c>
      <c r="P33" s="258"/>
      <c r="Q33" s="278">
        <f ca="1">IFERROR(IF(OR(O$26="",$H33=""),"",VLOOKUP(O$26,キャラデータ,MATCH(補助シート!$I22,キャラデータカラム,0)+1,0)),0)</f>
        <v>0</v>
      </c>
      <c r="R33" s="258"/>
      <c r="S33" s="257">
        <f ca="1">IFERROR(IF(OR(S$26="",$H33=""),"",VLOOKUP(S$26,キャラデータ,MATCH(補助シート!$I22,キャラデータカラム,0)+1,0)),0)</f>
        <v>0</v>
      </c>
      <c r="T33" s="258"/>
      <c r="U33" s="278">
        <f ca="1">IFERROR(IF(OR(S$26="",$H33=""),"",VLOOKUP(S$26,キャラデータ,MATCH(補助シート!$I22,キャラデータカラム,0)+1,0)),0)</f>
        <v>0</v>
      </c>
      <c r="V33" s="258"/>
      <c r="W33" s="257">
        <f ca="1">IFERROR(IF(OR(W$26="",$H33=""),"",VLOOKUP(W$26,キャラデータ,MATCH(補助シート!$I22,キャラデータカラム,0)+1,0)),0)</f>
        <v>0</v>
      </c>
      <c r="X33" s="258"/>
      <c r="Y33" s="278">
        <f ca="1">IFERROR(IF(OR(W$26="",$H33=""),"",VLOOKUP(W$26,キャラデータ,MATCH(補助シート!$I22,キャラデータカラム,0)+1,0)),0)</f>
        <v>0</v>
      </c>
      <c r="Z33" s="258"/>
      <c r="AA33" s="257">
        <f ca="1">IFERROR(IF(OR(AA$26="",$H33=""),"",VLOOKUP(AA$26,キャラデータ,MATCH(補助シート!$I22,キャラデータカラム,0)+1,0)),0)</f>
        <v>0</v>
      </c>
      <c r="AB33" s="258"/>
      <c r="AC33" s="278">
        <f ca="1">IFERROR(IF(OR(AA$26="",$H33=""),"",VLOOKUP(AA$26,キャラデータ,MATCH(補助シート!$I22,キャラデータカラム,0)+1,0)),0)</f>
        <v>0</v>
      </c>
      <c r="AD33" s="258"/>
      <c r="AE33" s="257">
        <f ca="1">IFERROR(IF(OR(AE$26="",$H33=""),"",VLOOKUP(AE$26,キャラデータ,MATCH(補助シート!$I22,キャラデータカラム,0)+1,0)),0)</f>
        <v>0</v>
      </c>
      <c r="AF33" s="258"/>
      <c r="AG33" s="278">
        <f ca="1">IFERROR(IF(OR(AE$26="",$H33=""),"",VLOOKUP(AE$26,キャラデータ,MATCH(補助シート!$I22,キャラデータカラム,0)+1,0)),0)</f>
        <v>0</v>
      </c>
      <c r="AH33" s="258"/>
      <c r="AI33" s="257">
        <f ca="1">IFERROR(IF(OR(AI$26="",$H33=""),"",VLOOKUP(AI$26,キャラデータ,MATCH(補助シート!$I22,キャラデータカラム,0)+1,0)),0)</f>
        <v>0</v>
      </c>
      <c r="AJ33" s="258"/>
      <c r="AK33" s="278">
        <f ca="1">IFERROR(IF(OR(AI$26="",$H33=""),"",VLOOKUP(AI$26,キャラデータ,MATCH(補助シート!$I22,キャラデータカラム,0)+1,0)),0)</f>
        <v>0</v>
      </c>
      <c r="AL33" s="258"/>
      <c r="AM33" s="257">
        <f ca="1">IFERROR(IF(OR(AM$26="",$H33=""),"",VLOOKUP(AM$26,キャラデータ,MATCH(補助シート!$I22,キャラデータカラム,0)+1,0)),0)</f>
        <v>0</v>
      </c>
      <c r="AN33" s="258"/>
      <c r="AO33" s="278">
        <f ca="1">IFERROR(IF(OR(AM$26="",$H33=""),"",VLOOKUP(AM$26,キャラデータ,MATCH(補助シート!$I22,キャラデータカラム,0)+1,0)),0)</f>
        <v>0</v>
      </c>
      <c r="AP33" s="258"/>
      <c r="AT33" s="98" t="str">
        <f t="shared" ca="1" si="33"/>
        <v>テリー</v>
      </c>
      <c r="AU33" s="108" t="str">
        <f t="shared" si="34"/>
        <v>デ</v>
      </c>
      <c r="AV33" s="108" t="str">
        <f t="shared" si="34"/>
        <v>中</v>
      </c>
      <c r="AW33" s="257">
        <f ca="1">IFERROR(IF(OR(AW$26="",$AT33=""),"",VLOOKUP(AW$26,敵リスト,MATCH(補助シート!$AU33,敵耐性カラム,0)+11,0)),0)</f>
        <v>1</v>
      </c>
      <c r="AX33" s="258"/>
      <c r="AY33" s="257">
        <f ca="1">IFERROR(IF(OR(AW$26="",$AT33=""),"",VLOOKUP(AW$26,敵リスト,MATCH(補助シート!$AU33,敵耐性カラム,0)+11,0)),0)</f>
        <v>1</v>
      </c>
      <c r="AZ33" s="258"/>
      <c r="BA33" s="257">
        <f ca="1">IFERROR(IF(OR(BA$26="",$AT33=""),"",VLOOKUP(BA$26,敵リスト,MATCH(補助シート!$AU33,敵耐性カラム,0)+11,0)),0)</f>
        <v>1</v>
      </c>
      <c r="BB33" s="258"/>
      <c r="BC33" s="257">
        <f ca="1">IFERROR(IF(OR(BA$26="",$AT33=""),"",VLOOKUP(BA$26,敵リスト,MATCH(補助シート!$AU33,敵耐性カラム,0)+11,0)),0)</f>
        <v>1</v>
      </c>
      <c r="BD33" s="258"/>
      <c r="BE33" s="257">
        <f ca="1">IFERROR(IF(OR(BE$26="",$AT33=""),"",VLOOKUP(BE$26,敵リスト,MATCH(補助シート!$AU33,敵耐性カラム,0)+11,0)),0)</f>
        <v>1</v>
      </c>
      <c r="BF33" s="258"/>
      <c r="BG33" s="257">
        <f ca="1">IFERROR(IF(OR(BE$26="",$AT33=""),"",VLOOKUP(BE$26,敵リスト,MATCH(補助シート!$AU33,敵耐性カラム,0)+11,0)),0)</f>
        <v>1</v>
      </c>
      <c r="BH33" s="258"/>
      <c r="BI33" s="257">
        <f ca="1">IFERROR(IF(OR(BI$26="",$AT33=""),"",VLOOKUP(BI$26,敵リスト,MATCH(補助シート!$AU33,敵耐性カラム,0)+11,0)),0)</f>
        <v>1</v>
      </c>
      <c r="BJ33" s="258"/>
      <c r="BK33" s="257">
        <f ca="1">IFERROR(IF(OR(BI$26="",$AT33=""),"",VLOOKUP(BI$26,敵リスト,MATCH(補助シート!$AU33,敵耐性カラム,0)+11,0)),0)</f>
        <v>1</v>
      </c>
      <c r="BL33" s="258"/>
      <c r="BM33" s="257">
        <f ca="1">IFERROR(IF(OR(BM$26="",$AT33=""),"",VLOOKUP(BM$26,敵リスト,MATCH(補助シート!$AU33,敵耐性カラム,0)+11,0)),0)</f>
        <v>1</v>
      </c>
      <c r="BN33" s="258"/>
      <c r="BO33" s="257">
        <f ca="1">IFERROR(IF(OR(BM$26="",$AT33=""),"",VLOOKUP(BM$26,敵リスト,MATCH(補助シート!$AU33,敵耐性カラム,0)+11,0)),0)</f>
        <v>1</v>
      </c>
      <c r="BP33" s="258"/>
      <c r="BQ33" s="257">
        <f ca="1">IFERROR(IF(OR(BQ$26="",$AT33=""),"",VLOOKUP(BQ$26,敵リスト,MATCH(補助シート!$AU33,敵耐性カラム,0)+11,0)),0)</f>
        <v>0</v>
      </c>
      <c r="BR33" s="258"/>
      <c r="BS33" s="257">
        <f ca="1">IFERROR(IF(OR(BQ$26="",$AT33=""),"",VLOOKUP(BQ$26,敵リスト,MATCH(補助シート!$AU33,敵耐性カラム,0)+11,0)),0)</f>
        <v>0</v>
      </c>
      <c r="BT33" s="258"/>
      <c r="BU33" s="257">
        <f ca="1">IFERROR(IF(OR(BU$26="",$AT33=""),"",VLOOKUP(BU$26,敵リスト,MATCH(補助シート!$AU33,敵耐性カラム,0)+11,0)),0)</f>
        <v>0</v>
      </c>
      <c r="BV33" s="258"/>
      <c r="BW33" s="257">
        <f ca="1">IFERROR(IF(OR(BU$26="",$AT33=""),"",VLOOKUP(BU$26,敵リスト,MATCH(補助シート!$AU33,敵耐性カラム,0)+11,0)),0)</f>
        <v>0</v>
      </c>
      <c r="BX33" s="258"/>
      <c r="BY33" s="257">
        <f ca="1">IFERROR(IF(OR(BY$26="",$AT33=""),"",VLOOKUP(BY$26,敵リスト,MATCH(補助シート!$AU33,敵耐性カラム,0)+11,0)),0)</f>
        <v>0</v>
      </c>
      <c r="BZ33" s="258"/>
      <c r="CA33" s="257">
        <f ca="1">IFERROR(IF(OR(BY$26="",$AT33=""),"",VLOOKUP(BY$26,敵リスト,MATCH(補助シート!$AU33,敵耐性カラム,0)+11,0)),0)</f>
        <v>0</v>
      </c>
      <c r="CB33" s="258"/>
    </row>
    <row r="34" spans="2:80" x14ac:dyDescent="0.15">
      <c r="B34" s="9" t="str">
        <f t="shared" ca="1" si="0"/>
        <v>キラーマジンガ</v>
      </c>
      <c r="C34" s="9">
        <f t="shared" ca="1" si="1"/>
        <v>29</v>
      </c>
      <c r="D34" s="9">
        <v>227</v>
      </c>
      <c r="F34" s="2" t="s">
        <v>476</v>
      </c>
      <c r="H34" s="98" t="str">
        <f t="shared" ca="1" si="32"/>
        <v>みぎて</v>
      </c>
      <c r="I34" s="107" t="str">
        <f>IF(計算!F43="","",VLOOKUP(計算!F43,敵技,4,0))</f>
        <v>なし</v>
      </c>
      <c r="J34" s="109" t="str">
        <f>IF(計算!F43="","",VLOOKUP(計算!F43,敵技,5,0))</f>
        <v>物理</v>
      </c>
      <c r="K34" s="275">
        <f ca="1">IFERROR(IF(OR(K$26="",$H34=""),"",VLOOKUP(K$26,キャラデータ,MATCH(補助シート!$I23,キャラデータカラム,0)+1,0)),0)</f>
        <v>0</v>
      </c>
      <c r="L34" s="276"/>
      <c r="M34" s="277">
        <f ca="1">IFERROR(IF(OR(K$26="",$H34=""),"",VLOOKUP(K$26,キャラデータ,MATCH(補助シート!$I23,キャラデータカラム,0)+1,0)),0)</f>
        <v>0</v>
      </c>
      <c r="N34" s="276"/>
      <c r="O34" s="275">
        <f ca="1">IFERROR(IF(OR(O$26="",$H34=""),"",VLOOKUP(O$26,キャラデータ,MATCH(補助シート!$I23,キャラデータカラム,0)+1,0)),0)</f>
        <v>0</v>
      </c>
      <c r="P34" s="276"/>
      <c r="Q34" s="277">
        <f ca="1">IFERROR(IF(OR(O$26="",$H34=""),"",VLOOKUP(O$26,キャラデータ,MATCH(補助シート!$I23,キャラデータカラム,0)+1,0)),0)</f>
        <v>0</v>
      </c>
      <c r="R34" s="276"/>
      <c r="S34" s="275">
        <f ca="1">IFERROR(IF(OR(S$26="",$H34=""),"",VLOOKUP(S$26,キャラデータ,MATCH(補助シート!$I23,キャラデータカラム,0)+1,0)),0)</f>
        <v>0</v>
      </c>
      <c r="T34" s="276"/>
      <c r="U34" s="277">
        <f ca="1">IFERROR(IF(OR(S$26="",$H34=""),"",VLOOKUP(S$26,キャラデータ,MATCH(補助シート!$I23,キャラデータカラム,0)+1,0)),0)</f>
        <v>0</v>
      </c>
      <c r="V34" s="276"/>
      <c r="W34" s="275">
        <f ca="1">IFERROR(IF(OR(W$26="",$H34=""),"",VLOOKUP(W$26,キャラデータ,MATCH(補助シート!$I23,キャラデータカラム,0)+1,0)),0)</f>
        <v>0</v>
      </c>
      <c r="X34" s="276"/>
      <c r="Y34" s="277">
        <f ca="1">IFERROR(IF(OR(W$26="",$H34=""),"",VLOOKUP(W$26,キャラデータ,MATCH(補助シート!$I23,キャラデータカラム,0)+1,0)),0)</f>
        <v>0</v>
      </c>
      <c r="Z34" s="276"/>
      <c r="AA34" s="275">
        <f ca="1">IFERROR(IF(OR(AA$26="",$H34=""),"",VLOOKUP(AA$26,キャラデータ,MATCH(補助シート!$I23,キャラデータカラム,0)+1,0)),0)</f>
        <v>0</v>
      </c>
      <c r="AB34" s="276"/>
      <c r="AC34" s="277">
        <f ca="1">IFERROR(IF(OR(AA$26="",$H34=""),"",VLOOKUP(AA$26,キャラデータ,MATCH(補助シート!$I23,キャラデータカラム,0)+1,0)),0)</f>
        <v>0</v>
      </c>
      <c r="AD34" s="276"/>
      <c r="AE34" s="275">
        <f ca="1">IFERROR(IF(OR(AE$26="",$H34=""),"",VLOOKUP(AE$26,キャラデータ,MATCH(補助シート!$I23,キャラデータカラム,0)+1,0)),0)</f>
        <v>0</v>
      </c>
      <c r="AF34" s="276"/>
      <c r="AG34" s="277">
        <f ca="1">IFERROR(IF(OR(AE$26="",$H34=""),"",VLOOKUP(AE$26,キャラデータ,MATCH(補助シート!$I23,キャラデータカラム,0)+1,0)),0)</f>
        <v>0</v>
      </c>
      <c r="AH34" s="276"/>
      <c r="AI34" s="275">
        <f ca="1">IFERROR(IF(OR(AI$26="",$H34=""),"",VLOOKUP(AI$26,キャラデータ,MATCH(補助シート!$I23,キャラデータカラム,0)+1,0)),0)</f>
        <v>0</v>
      </c>
      <c r="AJ34" s="276"/>
      <c r="AK34" s="277">
        <f ca="1">IFERROR(IF(OR(AI$26="",$H34=""),"",VLOOKUP(AI$26,キャラデータ,MATCH(補助シート!$I23,キャラデータカラム,0)+1,0)),0)</f>
        <v>0</v>
      </c>
      <c r="AL34" s="276"/>
      <c r="AM34" s="275">
        <f ca="1">IFERROR(IF(OR(AM$26="",$H34=""),"",VLOOKUP(AM$26,キャラデータ,MATCH(補助シート!$I23,キャラデータカラム,0)+1,0)),0)</f>
        <v>0</v>
      </c>
      <c r="AN34" s="276"/>
      <c r="AO34" s="277">
        <f ca="1">IFERROR(IF(OR(AM$26="",$H34=""),"",VLOOKUP(AM$26,キャラデータ,MATCH(補助シート!$I23,キャラデータカラム,0)+1,0)),0)</f>
        <v>0</v>
      </c>
      <c r="AP34" s="276"/>
      <c r="AT34" s="98" t="str">
        <f t="shared" ca="1" si="33"/>
        <v>ドランゴ</v>
      </c>
      <c r="AU34" s="108" t="str">
        <f t="shared" si="34"/>
        <v>なし</v>
      </c>
      <c r="AV34" s="108" t="str">
        <f t="shared" si="34"/>
        <v>物理</v>
      </c>
      <c r="AW34" s="257">
        <f ca="1">IFERROR(IF(OR(AW$26="",$AT34=""),"",VLOOKUP(AW$26,敵リスト,MATCH(補助シート!$AU34,敵耐性カラム,0)+11,0)),0)</f>
        <v>0</v>
      </c>
      <c r="AX34" s="258"/>
      <c r="AY34" s="257">
        <f ca="1">IFERROR(IF(OR(AW$26="",$AT34=""),"",VLOOKUP(AW$26,敵リスト,MATCH(補助シート!$AU34,敵耐性カラム,0)+11,0)),0)</f>
        <v>0</v>
      </c>
      <c r="AZ34" s="258"/>
      <c r="BA34" s="257">
        <f ca="1">IFERROR(IF(OR(BA$26="",$AT34=""),"",VLOOKUP(BA$26,敵リスト,MATCH(補助シート!$AU34,敵耐性カラム,0)+11,0)),0)</f>
        <v>0</v>
      </c>
      <c r="BB34" s="258"/>
      <c r="BC34" s="257">
        <f ca="1">IFERROR(IF(OR(BA$26="",$AT34=""),"",VLOOKUP(BA$26,敵リスト,MATCH(補助シート!$AU34,敵耐性カラム,0)+11,0)),0)</f>
        <v>0</v>
      </c>
      <c r="BD34" s="258"/>
      <c r="BE34" s="257">
        <f ca="1">IFERROR(IF(OR(BE$26="",$AT34=""),"",VLOOKUP(BE$26,敵リスト,MATCH(補助シート!$AU34,敵耐性カラム,0)+11,0)),0)</f>
        <v>0</v>
      </c>
      <c r="BF34" s="258"/>
      <c r="BG34" s="257">
        <f ca="1">IFERROR(IF(OR(BE$26="",$AT34=""),"",VLOOKUP(BE$26,敵リスト,MATCH(補助シート!$AU34,敵耐性カラム,0)+11,0)),0)</f>
        <v>0</v>
      </c>
      <c r="BH34" s="258"/>
      <c r="BI34" s="257">
        <f ca="1">IFERROR(IF(OR(BI$26="",$AT34=""),"",VLOOKUP(BI$26,敵リスト,MATCH(補助シート!$AU34,敵耐性カラム,0)+11,0)),0)</f>
        <v>0</v>
      </c>
      <c r="BJ34" s="258"/>
      <c r="BK34" s="257">
        <f ca="1">IFERROR(IF(OR(BI$26="",$AT34=""),"",VLOOKUP(BI$26,敵リスト,MATCH(補助シート!$AU34,敵耐性カラム,0)+11,0)),0)</f>
        <v>0</v>
      </c>
      <c r="BL34" s="258"/>
      <c r="BM34" s="257">
        <f ca="1">IFERROR(IF(OR(BM$26="",$AT34=""),"",VLOOKUP(BM$26,敵リスト,MATCH(補助シート!$AU34,敵耐性カラム,0)+11,0)),0)</f>
        <v>0</v>
      </c>
      <c r="BN34" s="258"/>
      <c r="BO34" s="257">
        <f ca="1">IFERROR(IF(OR(BM$26="",$AT34=""),"",VLOOKUP(BM$26,敵リスト,MATCH(補助シート!$AU34,敵耐性カラム,0)+11,0)),0)</f>
        <v>0</v>
      </c>
      <c r="BP34" s="258"/>
      <c r="BQ34" s="257">
        <f ca="1">IFERROR(IF(OR(BQ$26="",$AT34=""),"",VLOOKUP(BQ$26,敵リスト,MATCH(補助シート!$AU34,敵耐性カラム,0)+11,0)),0)</f>
        <v>0</v>
      </c>
      <c r="BR34" s="258"/>
      <c r="BS34" s="257">
        <f ca="1">IFERROR(IF(OR(BQ$26="",$AT34=""),"",VLOOKUP(BQ$26,敵リスト,MATCH(補助シート!$AU34,敵耐性カラム,0)+11,0)),0)</f>
        <v>0</v>
      </c>
      <c r="BT34" s="258"/>
      <c r="BU34" s="257">
        <f ca="1">IFERROR(IF(OR(BU$26="",$AT34=""),"",VLOOKUP(BU$26,敵リスト,MATCH(補助シート!$AU34,敵耐性カラム,0)+11,0)),0)</f>
        <v>0</v>
      </c>
      <c r="BV34" s="258"/>
      <c r="BW34" s="257">
        <f ca="1">IFERROR(IF(OR(BU$26="",$AT34=""),"",VLOOKUP(BU$26,敵リスト,MATCH(補助シート!$AU34,敵耐性カラム,0)+11,0)),0)</f>
        <v>0</v>
      </c>
      <c r="BX34" s="258"/>
      <c r="BY34" s="257">
        <f ca="1">IFERROR(IF(OR(BY$26="",$AT34=""),"",VLOOKUP(BY$26,敵リスト,MATCH(補助シート!$AU34,敵耐性カラム,0)+11,0)),0)</f>
        <v>0</v>
      </c>
      <c r="BZ34" s="258"/>
      <c r="CA34" s="257">
        <f ca="1">IFERROR(IF(OR(BY$26="",$AT34=""),"",VLOOKUP(BY$26,敵リスト,MATCH(補助シート!$AU34,敵耐性カラム,0)+11,0)),0)</f>
        <v>0</v>
      </c>
      <c r="CB34" s="258"/>
    </row>
    <row r="35" spans="2:80" x14ac:dyDescent="0.15">
      <c r="B35" s="9" t="str">
        <f t="shared" ca="1" si="0"/>
        <v>テリー</v>
      </c>
      <c r="C35" s="9">
        <f t="shared" ca="1" si="1"/>
        <v>30</v>
      </c>
      <c r="D35" s="9">
        <v>235</v>
      </c>
      <c r="F35" s="8" t="s">
        <v>577</v>
      </c>
    </row>
    <row r="36" spans="2:80" x14ac:dyDescent="0.15">
      <c r="B36" s="9" t="str">
        <f t="shared" ca="1" si="0"/>
        <v>デュラン</v>
      </c>
      <c r="C36" s="9">
        <f t="shared" ca="1" si="1"/>
        <v>31</v>
      </c>
      <c r="D36" s="9">
        <v>243</v>
      </c>
      <c r="F36" s="9" t="s">
        <v>578</v>
      </c>
      <c r="H36" s="267" t="s">
        <v>586</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9"/>
      <c r="AT36" s="267" t="s">
        <v>718</v>
      </c>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9"/>
    </row>
    <row r="37" spans="2:80" x14ac:dyDescent="0.15">
      <c r="B37" s="9" t="str">
        <f t="shared" ca="1" si="0"/>
        <v>天馬の塔</v>
      </c>
      <c r="C37" s="9">
        <f t="shared" ca="1" si="1"/>
        <v>32</v>
      </c>
      <c r="D37" s="9">
        <v>251</v>
      </c>
      <c r="F37" s="10" t="s">
        <v>576</v>
      </c>
      <c r="H37" s="270" t="s">
        <v>598</v>
      </c>
      <c r="I37" s="271"/>
      <c r="J37" s="272"/>
      <c r="K37" s="273">
        <f>IF(計算!P31="なし",0,IF(計算!P31="あり",1,IF(計算!P31="不気味",-1,0)))</f>
        <v>0</v>
      </c>
      <c r="L37" s="274"/>
      <c r="M37" s="274"/>
      <c r="N37" s="274"/>
      <c r="O37" s="273">
        <f>IF(計算!T31="なし",0,IF(計算!T31="あり",1,IF(計算!T31="不気味",-1,0)))</f>
        <v>0</v>
      </c>
      <c r="P37" s="274"/>
      <c r="Q37" s="274"/>
      <c r="R37" s="274"/>
      <c r="S37" s="273">
        <f>IF(計算!X31="なし",0,IF(計算!X31="あり",1,IF(計算!X31="不気味",-1,0)))</f>
        <v>0</v>
      </c>
      <c r="T37" s="274"/>
      <c r="U37" s="274"/>
      <c r="V37" s="274"/>
      <c r="W37" s="273">
        <f>IF(計算!AB31="なし",0,IF(計算!AB31="あり",1,IF(計算!AB31="不気味",-1,0)))</f>
        <v>0</v>
      </c>
      <c r="X37" s="274"/>
      <c r="Y37" s="274"/>
      <c r="Z37" s="274"/>
      <c r="AA37" s="273">
        <f>IF(計算!AF31="なし",0,IF(計算!AF31="あり",1,IF(計算!AF31="不気味",-1,0)))</f>
        <v>0</v>
      </c>
      <c r="AB37" s="274"/>
      <c r="AC37" s="274"/>
      <c r="AD37" s="274"/>
      <c r="AE37" s="273">
        <f>IF(計算!AJ31="なし",0,IF(計算!AJ31="あり",1,IF(計算!AJ31="不気味",-1,0)))</f>
        <v>0</v>
      </c>
      <c r="AF37" s="274"/>
      <c r="AG37" s="274"/>
      <c r="AH37" s="274"/>
      <c r="AI37" s="273">
        <f>IF(計算!AN31="なし",0,IF(計算!AN31="あり",1,IF(計算!AN31="不気味",-1,0)))</f>
        <v>0</v>
      </c>
      <c r="AJ37" s="274"/>
      <c r="AK37" s="274"/>
      <c r="AL37" s="274"/>
      <c r="AM37" s="273">
        <f>IF(計算!AR31="なし",0,IF(計算!AR31="あり",1,IF(計算!AR31="不気味",-1,0)))</f>
        <v>0</v>
      </c>
      <c r="AN37" s="274"/>
      <c r="AO37" s="274"/>
      <c r="AP37" s="274"/>
      <c r="AT37" s="270" t="s">
        <v>598</v>
      </c>
      <c r="AU37" s="271"/>
      <c r="AV37" s="272"/>
      <c r="AW37" s="273">
        <f>IF(計算!BB31="なし",0,IF(計算!BB31="あり",1,IF(計算!BB31="不気味",-1,0)))</f>
        <v>0</v>
      </c>
      <c r="AX37" s="274"/>
      <c r="AY37" s="274"/>
      <c r="AZ37" s="274"/>
      <c r="BA37" s="273">
        <f>IF(計算!BF31="なし",0,IF(計算!BF31="あり",1,IF(計算!BF31="不気味",-1,0)))</f>
        <v>0</v>
      </c>
      <c r="BB37" s="274"/>
      <c r="BC37" s="274"/>
      <c r="BD37" s="274"/>
      <c r="BE37" s="273">
        <f>IF(計算!BJ31="なし",0,IF(計算!BJ31="あり",1,IF(計算!BJ31="不気味",-1,0)))</f>
        <v>0</v>
      </c>
      <c r="BF37" s="274"/>
      <c r="BG37" s="274"/>
      <c r="BH37" s="274"/>
      <c r="BI37" s="273">
        <f>IF(計算!BN31="なし",0,IF(計算!BN31="あり",1,IF(計算!BN31="不気味",-1,0)))</f>
        <v>0</v>
      </c>
      <c r="BJ37" s="274"/>
      <c r="BK37" s="274"/>
      <c r="BL37" s="274"/>
      <c r="BM37" s="273">
        <f>IF(計算!BR31="なし",0,IF(計算!BR31="あり",1,IF(計算!BR31="不気味",-1,0)))</f>
        <v>0</v>
      </c>
      <c r="BN37" s="274"/>
      <c r="BO37" s="274"/>
      <c r="BP37" s="274"/>
      <c r="BQ37" s="273">
        <f>IF(計算!BV31="なし",0,IF(計算!BV31="あり",1,IF(計算!BV31="不気味",-1,0)))</f>
        <v>0</v>
      </c>
      <c r="BR37" s="274"/>
      <c r="BS37" s="274"/>
      <c r="BT37" s="274"/>
      <c r="BU37" s="273">
        <f>IF(計算!BZ31="なし",0,IF(計算!BZ31="あり",1,IF(計算!BZ31="不気味",-1,0)))</f>
        <v>0</v>
      </c>
      <c r="BV37" s="274"/>
      <c r="BW37" s="274"/>
      <c r="BX37" s="274"/>
      <c r="BY37" s="273">
        <f>IF(計算!CD31="なし",0,IF(計算!CD31="あり",1,IF(計算!CD31="不気味",-1,0)))</f>
        <v>0</v>
      </c>
      <c r="BZ37" s="274"/>
      <c r="CA37" s="274"/>
      <c r="CB37" s="274"/>
    </row>
    <row r="38" spans="2:80" x14ac:dyDescent="0.15">
      <c r="B38" s="9" t="str">
        <f t="shared" ca="1" si="0"/>
        <v>なげきのきょじん</v>
      </c>
      <c r="C38" s="9">
        <f t="shared" ca="1" si="1"/>
        <v>33</v>
      </c>
      <c r="D38" s="9">
        <v>259</v>
      </c>
      <c r="H38" s="103" t="s">
        <v>449</v>
      </c>
      <c r="I38" s="101" t="s">
        <v>201</v>
      </c>
      <c r="J38" s="111" t="s">
        <v>579</v>
      </c>
      <c r="K38" s="264" t="str">
        <f ca="1">K$5</f>
        <v>主人公</v>
      </c>
      <c r="L38" s="265"/>
      <c r="M38" s="265"/>
      <c r="N38" s="266"/>
      <c r="O38" s="264" t="str">
        <f t="shared" ref="O38" ca="1" si="35">O$5</f>
        <v>ハッサン</v>
      </c>
      <c r="P38" s="265"/>
      <c r="Q38" s="265"/>
      <c r="R38" s="266"/>
      <c r="S38" s="264" t="str">
        <f t="shared" ref="S38" ca="1" si="36">S$5</f>
        <v>ミレーユ</v>
      </c>
      <c r="T38" s="265"/>
      <c r="U38" s="265"/>
      <c r="V38" s="266"/>
      <c r="W38" s="264" t="str">
        <f t="shared" ref="W38" ca="1" si="37">W$5</f>
        <v>バーバラ</v>
      </c>
      <c r="X38" s="265"/>
      <c r="Y38" s="265"/>
      <c r="Z38" s="266"/>
      <c r="AA38" s="264" t="str">
        <f t="shared" ref="AA38" ca="1" si="38">AA$5</f>
        <v>チャモロ</v>
      </c>
      <c r="AB38" s="265"/>
      <c r="AC38" s="265"/>
      <c r="AD38" s="266"/>
      <c r="AE38" s="264" t="str">
        <f t="shared" ref="AE38" ca="1" si="39">AE$5</f>
        <v>アモス</v>
      </c>
      <c r="AF38" s="265"/>
      <c r="AG38" s="265"/>
      <c r="AH38" s="266"/>
      <c r="AI38" s="264" t="str">
        <f t="shared" ref="AI38" ca="1" si="40">AI$5</f>
        <v>テリー</v>
      </c>
      <c r="AJ38" s="265"/>
      <c r="AK38" s="265"/>
      <c r="AL38" s="266"/>
      <c r="AM38" s="264" t="str">
        <f t="shared" ref="AM38" ca="1" si="41">AM$5</f>
        <v>ドランゴ</v>
      </c>
      <c r="AN38" s="265"/>
      <c r="AO38" s="265"/>
      <c r="AP38" s="266"/>
      <c r="AT38" s="103" t="s">
        <v>449</v>
      </c>
      <c r="AU38" s="129" t="s">
        <v>201</v>
      </c>
      <c r="AV38" s="128" t="s">
        <v>579</v>
      </c>
      <c r="AW38" s="264" t="str">
        <f ca="1">AW$5</f>
        <v>デスタムーア3</v>
      </c>
      <c r="AX38" s="265"/>
      <c r="AY38" s="265"/>
      <c r="AZ38" s="266"/>
      <c r="BA38" s="264" t="str">
        <f t="shared" ref="BA38" ca="1" si="42">BA$5</f>
        <v>デスタムーア3</v>
      </c>
      <c r="BB38" s="265"/>
      <c r="BC38" s="265"/>
      <c r="BD38" s="266"/>
      <c r="BE38" s="264" t="str">
        <f t="shared" ref="BE38" ca="1" si="43">BE$5</f>
        <v>デスタムーア3</v>
      </c>
      <c r="BF38" s="265"/>
      <c r="BG38" s="265"/>
      <c r="BH38" s="266"/>
      <c r="BI38" s="264" t="str">
        <f t="shared" ref="BI38" ca="1" si="44">BI$5</f>
        <v>デスタムーア3</v>
      </c>
      <c r="BJ38" s="265"/>
      <c r="BK38" s="265"/>
      <c r="BL38" s="266"/>
      <c r="BM38" s="264" t="str">
        <f t="shared" ref="BM38" ca="1" si="45">BM$5</f>
        <v>デスタムーア3</v>
      </c>
      <c r="BN38" s="265"/>
      <c r="BO38" s="265"/>
      <c r="BP38" s="266"/>
      <c r="BQ38" s="264" t="str">
        <f t="shared" ref="BQ38" ca="1" si="46">BQ$5</f>
        <v>ひだりて</v>
      </c>
      <c r="BR38" s="265"/>
      <c r="BS38" s="265"/>
      <c r="BT38" s="266"/>
      <c r="BU38" s="264" t="str">
        <f t="shared" ref="BU38" ca="1" si="47">BU$5</f>
        <v>みぎて</v>
      </c>
      <c r="BV38" s="265"/>
      <c r="BW38" s="265"/>
      <c r="BX38" s="266"/>
      <c r="BY38" s="264" t="str">
        <f t="shared" ref="BY38" ca="1" si="48">BY$5</f>
        <v>みぎて</v>
      </c>
      <c r="BZ38" s="265"/>
      <c r="CA38" s="265"/>
      <c r="CB38" s="266"/>
    </row>
    <row r="39" spans="2:80" x14ac:dyDescent="0.15">
      <c r="B39" s="9" t="str">
        <f t="shared" ca="1" si="0"/>
        <v>アクバー</v>
      </c>
      <c r="C39" s="9">
        <f t="shared" ca="1" si="1"/>
        <v>34</v>
      </c>
      <c r="D39" s="9">
        <v>267</v>
      </c>
      <c r="F39" s="2" t="s">
        <v>596</v>
      </c>
      <c r="H39" s="98" t="str">
        <f ca="1">$H5</f>
        <v>デスタムーア3</v>
      </c>
      <c r="I39" s="108" t="str">
        <f>IF(計算!F36="","",VLOOKUP(計算!F36,敵技,4,0))</f>
        <v>なし</v>
      </c>
      <c r="J39" s="106" t="str">
        <f>IF(計算!F36="","",VLOOKUP(計算!F36,敵技,5,0))</f>
        <v>無視</v>
      </c>
      <c r="K39" s="257">
        <f ca="1">IFERROR(IF(OR($H39="",K$38=""),"",IF($J39="物理",1,HLOOKUP(K27,貫通力,MATCH($J39,貫通力段階,0)+2+K$37,0))),1)</f>
        <v>1</v>
      </c>
      <c r="L39" s="258"/>
      <c r="M39" s="259">
        <f t="shared" ref="M39:M46" ca="1" si="49">IFERROR(IF(OR($H39="",K$38=""),"",IF($J39="物理",1,HLOOKUP(M27,貫通力,MATCH($J39,貫通力段階,0)+2+K$37,0))),1)</f>
        <v>1</v>
      </c>
      <c r="N39" s="260"/>
      <c r="O39" s="257">
        <f t="shared" ref="O39:O46" ca="1" si="50">IFERROR(IF(OR($H39="",O$38=""),"",IF($J39="物理",1,HLOOKUP(O27,貫通力,MATCH($J39,貫通力段階,0)+2+O$37,0))),1)</f>
        <v>1</v>
      </c>
      <c r="P39" s="258"/>
      <c r="Q39" s="259">
        <f t="shared" ref="Q39:Q46" ca="1" si="51">IFERROR(IF(OR($H39="",O$38=""),"",IF($J39="物理",1,HLOOKUP(Q27,貫通力,MATCH($J39,貫通力段階,0)+2+O$37,0))),1)</f>
        <v>1</v>
      </c>
      <c r="R39" s="260"/>
      <c r="S39" s="257">
        <f t="shared" ref="S39:S46" ca="1" si="52">IFERROR(IF(OR($H39="",S$38=""),"",IF($J39="物理",1,HLOOKUP(S27,貫通力,MATCH($J39,貫通力段階,0)+2+S$37,0))),1)</f>
        <v>1</v>
      </c>
      <c r="T39" s="258"/>
      <c r="U39" s="259">
        <f t="shared" ref="U39:U46" ca="1" si="53">IFERROR(IF(OR($H39="",S$38=""),"",IF($J39="物理",1,HLOOKUP(U27,貫通力,MATCH($J39,貫通力段階,0)+2+S$37,0))),1)</f>
        <v>1</v>
      </c>
      <c r="V39" s="260"/>
      <c r="W39" s="257">
        <f t="shared" ref="W39:W46" ca="1" si="54">IFERROR(IF(OR($H39="",W$38=""),"",IF($J39="物理",1,HLOOKUP(W27,貫通力,MATCH($J39,貫通力段階,0)+2+W$37,0))),1)</f>
        <v>1</v>
      </c>
      <c r="X39" s="258"/>
      <c r="Y39" s="259">
        <f t="shared" ref="Y39:Y46" ca="1" si="55">IFERROR(IF(OR($H39="",W$38=""),"",IF($J39="物理",1,HLOOKUP(Y27,貫通力,MATCH($J39,貫通力段階,0)+2+W$37,0))),1)</f>
        <v>1</v>
      </c>
      <c r="Z39" s="260"/>
      <c r="AA39" s="257">
        <f t="shared" ref="AA39:AA46" ca="1" si="56">IFERROR(IF(OR($H39="",AA$38=""),"",IF($J39="物理",1,HLOOKUP(AA27,貫通力,MATCH($J39,貫通力段階,0)+2+AA$37,0))),1)</f>
        <v>1</v>
      </c>
      <c r="AB39" s="258"/>
      <c r="AC39" s="259">
        <f t="shared" ref="AC39:AC46" ca="1" si="57">IFERROR(IF(OR($H39="",AA$38=""),"",IF($J39="物理",1,HLOOKUP(AC27,貫通力,MATCH($J39,貫通力段階,0)+2+AA$37,0))),1)</f>
        <v>1</v>
      </c>
      <c r="AD39" s="260"/>
      <c r="AE39" s="257">
        <f t="shared" ref="AE39:AE46" ca="1" si="58">IFERROR(IF(OR($H39="",AE$38=""),"",IF($J39="物理",1,HLOOKUP(AE27,貫通力,MATCH($J39,貫通力段階,0)+2+AE$37,0))),1)</f>
        <v>1</v>
      </c>
      <c r="AF39" s="258"/>
      <c r="AG39" s="259">
        <f t="shared" ref="AG39:AG46" ca="1" si="59">IFERROR(IF(OR($H39="",AE$38=""),"",IF($J39="物理",1,HLOOKUP(AG27,貫通力,MATCH($J39,貫通力段階,0)+2+AE$37,0))),1)</f>
        <v>1</v>
      </c>
      <c r="AH39" s="260"/>
      <c r="AI39" s="257">
        <f t="shared" ref="AI39:AI46" ca="1" si="60">IFERROR(IF(OR($H39="",AI$38=""),"",IF($J39="物理",1,HLOOKUP(AI27,貫通力,MATCH($J39,貫通力段階,0)+2+AI$37,0))),1)</f>
        <v>1</v>
      </c>
      <c r="AJ39" s="258"/>
      <c r="AK39" s="259">
        <f t="shared" ref="AK39:AK46" ca="1" si="61">IFERROR(IF(OR($H39="",AI$38=""),"",IF($J39="物理",1,HLOOKUP(AK27,貫通力,MATCH($J39,貫通力段階,0)+2+AI$37,0))),1)</f>
        <v>1</v>
      </c>
      <c r="AL39" s="260"/>
      <c r="AM39" s="257">
        <f t="shared" ref="AM39:AM46" ca="1" si="62">IFERROR(IF(OR($H39="",AM$38=""),"",IF($J39="物理",1,HLOOKUP(AM27,貫通力,MATCH($J39,貫通力段階,0)+2+AM$37,0))),1)</f>
        <v>1</v>
      </c>
      <c r="AN39" s="258"/>
      <c r="AO39" s="259">
        <f t="shared" ref="AO39:AO46" ca="1" si="63">IFERROR(IF(OR($H39="",AM$38=""),"",IF($J39="物理",1,HLOOKUP(AO27,貫通力,MATCH($J39,貫通力段階,0)+2+AM$37,0))),1)</f>
        <v>1</v>
      </c>
      <c r="AP39" s="260"/>
      <c r="AT39" s="98" t="str">
        <f ca="1">AT5</f>
        <v>主人公</v>
      </c>
      <c r="AU39" s="108" t="str">
        <f>AU16</f>
        <v>メ</v>
      </c>
      <c r="AV39" s="108" t="str">
        <f>AV16</f>
        <v>中</v>
      </c>
      <c r="AW39" s="290">
        <f t="shared" ref="AW39:AW46" ca="1" si="64">IFERROR(IF(OR($AT39="",AW$38=""),"",IF($AV39="物理",1,HLOOKUP(AW27,貫通力,MATCH($AV39,貫通力段階,0)+2+AW$37,0))),1)</f>
        <v>0.6953125</v>
      </c>
      <c r="AX39" s="260"/>
      <c r="AY39" s="259">
        <f t="shared" ref="AY39:AY46" ca="1" si="65">IFERROR(IF(OR($AT39="",AW$38=""),"",IF($AV39="物理",1,HLOOKUP(AY27,貫通力,MATCH($AV39,貫通力段階,0)+2+AW$37,0))),1)</f>
        <v>0.6953125</v>
      </c>
      <c r="AZ39" s="260"/>
      <c r="BA39" s="259">
        <f t="shared" ref="BA39:BA46" ca="1" si="66">IFERROR(IF(OR($AT39="",BA$38=""),"",IF($AV39="物理",1,HLOOKUP(BA27,貫通力,MATCH($AV39,貫通力段階,0)+2+BA$37,0))),1)</f>
        <v>0.6953125</v>
      </c>
      <c r="BB39" s="260"/>
      <c r="BC39" s="259">
        <f t="shared" ref="BC39:BC46" ca="1" si="67">IFERROR(IF(OR($AT39="",BA$38=""),"",IF($AV39="物理",1,HLOOKUP(BC27,貫通力,MATCH($AV39,貫通力段階,0)+2+BA$37,0))),1)</f>
        <v>0.6953125</v>
      </c>
      <c r="BD39" s="260"/>
      <c r="BE39" s="259">
        <f t="shared" ref="BE39:BE46" ca="1" si="68">IFERROR(IF(OR($AT39="",BE$38=""),"",IF($AV39="物理",1,HLOOKUP(BE27,貫通力,MATCH($AV39,貫通力段階,0)+2+BE$37,0))),1)</f>
        <v>0.6953125</v>
      </c>
      <c r="BF39" s="260"/>
      <c r="BG39" s="259">
        <f t="shared" ref="BG39:BG46" ca="1" si="69">IFERROR(IF(OR($AT39="",BE$38=""),"",IF($AV39="物理",1,HLOOKUP(BG27,貫通力,MATCH($AV39,貫通力段階,0)+2+BE$37,0))),1)</f>
        <v>0.6953125</v>
      </c>
      <c r="BH39" s="260"/>
      <c r="BI39" s="259">
        <f t="shared" ref="BI39:BI46" ca="1" si="70">IFERROR(IF(OR($AT39="",BI$38=""),"",IF($AV39="物理",1,HLOOKUP(BI27,貫通力,MATCH($AV39,貫通力段階,0)+2+BI$37,0))),1)</f>
        <v>0.6953125</v>
      </c>
      <c r="BJ39" s="260"/>
      <c r="BK39" s="259">
        <f t="shared" ref="BK39:BK46" ca="1" si="71">IFERROR(IF(OR($AT39="",BI$38=""),"",IF($AV39="物理",1,HLOOKUP(BK27,貫通力,MATCH($AV39,貫通力段階,0)+2+BI$37,0))),1)</f>
        <v>0.6953125</v>
      </c>
      <c r="BL39" s="260"/>
      <c r="BM39" s="259">
        <f t="shared" ref="BM39:BM46" ca="1" si="72">IFERROR(IF(OR($AT39="",BM$38=""),"",IF($AV39="物理",1,HLOOKUP(BM27,貫通力,MATCH($AV39,貫通力段階,0)+2+BM$37,0))),1)</f>
        <v>0.6953125</v>
      </c>
      <c r="BN39" s="260"/>
      <c r="BO39" s="259">
        <f t="shared" ref="BO39:BO46" ca="1" si="73">IFERROR(IF(OR($AT39="",BM$38=""),"",IF($AV39="物理",1,HLOOKUP(BO27,貫通力,MATCH($AV39,貫通力段階,0)+2+BM$37,0))),1)</f>
        <v>0.6953125</v>
      </c>
      <c r="BP39" s="260"/>
      <c r="BQ39" s="259">
        <f t="shared" ref="BQ39:BQ46" ca="1" si="74">IFERROR(IF(OR($AT39="",BQ$38=""),"",IF($AV39="物理",1,HLOOKUP(BQ27,貫通力,MATCH($AV39,貫通力段階,0)+2+BQ$37,0))),1)</f>
        <v>0.6953125</v>
      </c>
      <c r="BR39" s="260"/>
      <c r="BS39" s="259">
        <f t="shared" ref="BS39:BS46" ca="1" si="75">IFERROR(IF(OR($AT39="",BQ$38=""),"",IF($AV39="物理",1,HLOOKUP(BS27,貫通力,MATCH($AV39,貫通力段階,0)+2+BQ$37,0))),1)</f>
        <v>0.6953125</v>
      </c>
      <c r="BT39" s="260"/>
      <c r="BU39" s="259">
        <f t="shared" ref="BU39:BU46" ca="1" si="76">IFERROR(IF(OR($AT39="",BU$38=""),"",IF($AV39="物理",1,HLOOKUP(BU27,貫通力,MATCH($AV39,貫通力段階,0)+2+BU$37,0))),1)</f>
        <v>1</v>
      </c>
      <c r="BV39" s="260"/>
      <c r="BW39" s="259">
        <f t="shared" ref="BW39:BW46" ca="1" si="77">IFERROR(IF(OR($AT39="",BU$38=""),"",IF($AV39="物理",1,HLOOKUP(BW27,貫通力,MATCH($AV39,貫通力段階,0)+2+BU$37,0))),1)</f>
        <v>1</v>
      </c>
      <c r="BX39" s="260"/>
      <c r="BY39" s="259">
        <f t="shared" ref="BY39:BY46" ca="1" si="78">IFERROR(IF(OR($AT39="",BY$38=""),"",IF($AV39="物理",1,HLOOKUP(BY27,貫通力,MATCH($AV39,貫通力段階,0)+2+BY$37,0))),1)</f>
        <v>1</v>
      </c>
      <c r="BZ39" s="260"/>
      <c r="CA39" s="259">
        <f t="shared" ref="CA39:CA46" ca="1" si="79">IFERROR(IF(OR($AT39="",BY$38=""),"",IF($AV39="物理",1,HLOOKUP(CA27,貫通力,MATCH($AV39,貫通力段階,0)+2+BY$37,0))),1)</f>
        <v>1</v>
      </c>
      <c r="CB39" s="260"/>
    </row>
    <row r="40" spans="2:80" x14ac:dyDescent="0.15">
      <c r="B40" s="9" t="str">
        <f t="shared" ca="1" si="0"/>
        <v>ズイカク＆ショウカク</v>
      </c>
      <c r="C40" s="9">
        <f t="shared" ca="1" si="1"/>
        <v>35</v>
      </c>
      <c r="D40" s="9">
        <v>275</v>
      </c>
      <c r="F40" s="8" t="s">
        <v>467</v>
      </c>
      <c r="H40" s="98" t="str">
        <f t="shared" ref="H40:H46" ca="1" si="80">$H6</f>
        <v>デスタムーア3</v>
      </c>
      <c r="I40" s="108" t="str">
        <f>IF(計算!F37="","",VLOOKUP(計算!F37,敵技,4,0))</f>
        <v>メ</v>
      </c>
      <c r="J40" s="106" t="str">
        <f>IF(計算!F37="","",VLOOKUP(計算!F37,敵技,5,0))</f>
        <v>中</v>
      </c>
      <c r="K40" s="257">
        <f t="shared" ref="K40:K46" ca="1" si="81">IFERROR(IF(OR($H40="",K$38=""),"",IF($J40="物理",1,HLOOKUP(K28,貫通力,MATCH($J40,貫通力段階,0)+2+K$37,0))),1)</f>
        <v>1</v>
      </c>
      <c r="L40" s="258"/>
      <c r="M40" s="259">
        <f t="shared" ca="1" si="49"/>
        <v>1</v>
      </c>
      <c r="N40" s="260"/>
      <c r="O40" s="257">
        <f t="shared" ca="1" si="50"/>
        <v>1</v>
      </c>
      <c r="P40" s="258"/>
      <c r="Q40" s="259">
        <f t="shared" ca="1" si="51"/>
        <v>1</v>
      </c>
      <c r="R40" s="260"/>
      <c r="S40" s="257">
        <f t="shared" ca="1" si="52"/>
        <v>1</v>
      </c>
      <c r="T40" s="258"/>
      <c r="U40" s="259">
        <f t="shared" ca="1" si="53"/>
        <v>1</v>
      </c>
      <c r="V40" s="260"/>
      <c r="W40" s="257">
        <f t="shared" ca="1" si="54"/>
        <v>0.6953125</v>
      </c>
      <c r="X40" s="258"/>
      <c r="Y40" s="259">
        <f t="shared" ca="1" si="55"/>
        <v>0.6953125</v>
      </c>
      <c r="Z40" s="260"/>
      <c r="AA40" s="257">
        <f ca="1">IFERROR(IF(OR($H40="",AA$38=""),"",IF($J40="物理",1,HLOOKUP(AA28,貫通力,MATCH($J40,貫通力段階,0)+2+AA$37,0))),1)</f>
        <v>1</v>
      </c>
      <c r="AB40" s="258"/>
      <c r="AC40" s="259">
        <f ca="1">IFERROR(IF(OR($H40="",AA$38=""),"",IF($J40="物理",1,HLOOKUP(AC28,貫通力,MATCH($J40,貫通力段階,0)+2+AA$37,0))),1)</f>
        <v>1</v>
      </c>
      <c r="AD40" s="260"/>
      <c r="AE40" s="257">
        <f t="shared" ca="1" si="58"/>
        <v>1</v>
      </c>
      <c r="AF40" s="258"/>
      <c r="AG40" s="259">
        <f t="shared" ca="1" si="59"/>
        <v>1</v>
      </c>
      <c r="AH40" s="260"/>
      <c r="AI40" s="257">
        <f t="shared" ca="1" si="60"/>
        <v>1</v>
      </c>
      <c r="AJ40" s="258"/>
      <c r="AK40" s="259">
        <f t="shared" ca="1" si="61"/>
        <v>1</v>
      </c>
      <c r="AL40" s="260"/>
      <c r="AM40" s="257">
        <f t="shared" ca="1" si="62"/>
        <v>1</v>
      </c>
      <c r="AN40" s="258"/>
      <c r="AO40" s="259">
        <f t="shared" ca="1" si="63"/>
        <v>1</v>
      </c>
      <c r="AP40" s="260"/>
      <c r="AT40" s="98" t="str">
        <f t="shared" ref="AT40:AT46" ca="1" si="82">AT6</f>
        <v>ハッサン</v>
      </c>
      <c r="AU40" s="108" t="str">
        <f t="shared" ref="AU40:AV40" si="83">AU17</f>
        <v>なし</v>
      </c>
      <c r="AV40" s="108" t="str">
        <f t="shared" si="83"/>
        <v>物理</v>
      </c>
      <c r="AW40" s="257">
        <f t="shared" ca="1" si="64"/>
        <v>1</v>
      </c>
      <c r="AX40" s="258"/>
      <c r="AY40" s="259">
        <f t="shared" ca="1" si="65"/>
        <v>1</v>
      </c>
      <c r="AZ40" s="260"/>
      <c r="BA40" s="259">
        <f t="shared" ca="1" si="66"/>
        <v>1</v>
      </c>
      <c r="BB40" s="260"/>
      <c r="BC40" s="259">
        <f t="shared" ca="1" si="67"/>
        <v>1</v>
      </c>
      <c r="BD40" s="260"/>
      <c r="BE40" s="259">
        <f t="shared" ca="1" si="68"/>
        <v>1</v>
      </c>
      <c r="BF40" s="260"/>
      <c r="BG40" s="259">
        <f t="shared" ca="1" si="69"/>
        <v>1</v>
      </c>
      <c r="BH40" s="260"/>
      <c r="BI40" s="259">
        <f t="shared" ca="1" si="70"/>
        <v>1</v>
      </c>
      <c r="BJ40" s="260"/>
      <c r="BK40" s="259">
        <f t="shared" ca="1" si="71"/>
        <v>1</v>
      </c>
      <c r="BL40" s="260"/>
      <c r="BM40" s="259">
        <f t="shared" ca="1" si="72"/>
        <v>1</v>
      </c>
      <c r="BN40" s="260"/>
      <c r="BO40" s="259">
        <f t="shared" ca="1" si="73"/>
        <v>1</v>
      </c>
      <c r="BP40" s="260"/>
      <c r="BQ40" s="259">
        <f t="shared" ca="1" si="74"/>
        <v>1</v>
      </c>
      <c r="BR40" s="260"/>
      <c r="BS40" s="259">
        <f t="shared" ca="1" si="75"/>
        <v>1</v>
      </c>
      <c r="BT40" s="260"/>
      <c r="BU40" s="259">
        <f t="shared" ca="1" si="76"/>
        <v>1</v>
      </c>
      <c r="BV40" s="260"/>
      <c r="BW40" s="259">
        <f t="shared" ca="1" si="77"/>
        <v>1</v>
      </c>
      <c r="BX40" s="260"/>
      <c r="BY40" s="259">
        <f t="shared" ca="1" si="78"/>
        <v>1</v>
      </c>
      <c r="BZ40" s="260"/>
      <c r="CA40" s="259">
        <f t="shared" ca="1" si="79"/>
        <v>1</v>
      </c>
      <c r="CB40" s="260"/>
    </row>
    <row r="41" spans="2:80" x14ac:dyDescent="0.15">
      <c r="B41" s="9" t="str">
        <f t="shared" ca="1" si="0"/>
        <v>デスタムーア1</v>
      </c>
      <c r="C41" s="9">
        <f t="shared" ca="1" si="1"/>
        <v>36</v>
      </c>
      <c r="D41" s="9">
        <v>283</v>
      </c>
      <c r="F41" s="9" t="s">
        <v>578</v>
      </c>
      <c r="H41" s="98" t="str">
        <f t="shared" ca="1" si="80"/>
        <v>デスタムーア3</v>
      </c>
      <c r="I41" s="108" t="str">
        <f>IF(計算!F38="","",VLOOKUP(計算!F38,敵技,4,0))</f>
        <v>雪</v>
      </c>
      <c r="J41" s="106" t="str">
        <f>IF(計算!F38="","",VLOOKUP(計算!F38,敵技,5,0))</f>
        <v>高</v>
      </c>
      <c r="K41" s="257">
        <f t="shared" ca="1" si="81"/>
        <v>1</v>
      </c>
      <c r="L41" s="258"/>
      <c r="M41" s="259">
        <f t="shared" ca="1" si="49"/>
        <v>1</v>
      </c>
      <c r="N41" s="260"/>
      <c r="O41" s="257">
        <f t="shared" ca="1" si="50"/>
        <v>1</v>
      </c>
      <c r="P41" s="258"/>
      <c r="Q41" s="259">
        <f t="shared" ca="1" si="51"/>
        <v>1</v>
      </c>
      <c r="R41" s="260"/>
      <c r="S41" s="257">
        <f t="shared" ca="1" si="52"/>
        <v>1</v>
      </c>
      <c r="T41" s="258"/>
      <c r="U41" s="259">
        <f t="shared" ca="1" si="53"/>
        <v>1</v>
      </c>
      <c r="V41" s="260"/>
      <c r="W41" s="257">
        <f t="shared" ca="1" si="54"/>
        <v>1</v>
      </c>
      <c r="X41" s="258"/>
      <c r="Y41" s="259">
        <f t="shared" ca="1" si="55"/>
        <v>1</v>
      </c>
      <c r="Z41" s="260"/>
      <c r="AA41" s="257">
        <f t="shared" ca="1" si="56"/>
        <v>1</v>
      </c>
      <c r="AB41" s="258"/>
      <c r="AC41" s="259">
        <f t="shared" ca="1" si="57"/>
        <v>1</v>
      </c>
      <c r="AD41" s="260"/>
      <c r="AE41" s="257">
        <f t="shared" ca="1" si="58"/>
        <v>1</v>
      </c>
      <c r="AF41" s="258"/>
      <c r="AG41" s="259">
        <f t="shared" ca="1" si="59"/>
        <v>1</v>
      </c>
      <c r="AH41" s="260"/>
      <c r="AI41" s="257">
        <f t="shared" ca="1" si="60"/>
        <v>1</v>
      </c>
      <c r="AJ41" s="258"/>
      <c r="AK41" s="259">
        <f t="shared" ca="1" si="61"/>
        <v>1</v>
      </c>
      <c r="AL41" s="260"/>
      <c r="AM41" s="257">
        <f t="shared" ca="1" si="62"/>
        <v>1</v>
      </c>
      <c r="AN41" s="258"/>
      <c r="AO41" s="259">
        <f t="shared" ca="1" si="63"/>
        <v>1</v>
      </c>
      <c r="AP41" s="260"/>
      <c r="AT41" s="98" t="str">
        <f t="shared" ca="1" si="82"/>
        <v>ミレーユ</v>
      </c>
      <c r="AU41" s="108" t="str">
        <f t="shared" ref="AU41:AV41" si="84">AU18</f>
        <v/>
      </c>
      <c r="AV41" s="108" t="str">
        <f t="shared" si="84"/>
        <v/>
      </c>
      <c r="AW41" s="290">
        <f t="shared" ca="1" si="64"/>
        <v>1</v>
      </c>
      <c r="AX41" s="260"/>
      <c r="AY41" s="259">
        <f t="shared" ca="1" si="65"/>
        <v>1</v>
      </c>
      <c r="AZ41" s="260"/>
      <c r="BA41" s="259">
        <f t="shared" ca="1" si="66"/>
        <v>1</v>
      </c>
      <c r="BB41" s="260"/>
      <c r="BC41" s="259">
        <f t="shared" ca="1" si="67"/>
        <v>1</v>
      </c>
      <c r="BD41" s="260"/>
      <c r="BE41" s="259">
        <f t="shared" ca="1" si="68"/>
        <v>1</v>
      </c>
      <c r="BF41" s="260"/>
      <c r="BG41" s="259">
        <f t="shared" ca="1" si="69"/>
        <v>1</v>
      </c>
      <c r="BH41" s="260"/>
      <c r="BI41" s="259">
        <f t="shared" ca="1" si="70"/>
        <v>1</v>
      </c>
      <c r="BJ41" s="260"/>
      <c r="BK41" s="259">
        <f t="shared" ca="1" si="71"/>
        <v>1</v>
      </c>
      <c r="BL41" s="260"/>
      <c r="BM41" s="259">
        <f t="shared" ca="1" si="72"/>
        <v>1</v>
      </c>
      <c r="BN41" s="260"/>
      <c r="BO41" s="259">
        <f t="shared" ca="1" si="73"/>
        <v>1</v>
      </c>
      <c r="BP41" s="260"/>
      <c r="BQ41" s="259">
        <f t="shared" ca="1" si="74"/>
        <v>1</v>
      </c>
      <c r="BR41" s="260"/>
      <c r="BS41" s="259">
        <f t="shared" ca="1" si="75"/>
        <v>1</v>
      </c>
      <c r="BT41" s="260"/>
      <c r="BU41" s="259">
        <f t="shared" ca="1" si="76"/>
        <v>1</v>
      </c>
      <c r="BV41" s="260"/>
      <c r="BW41" s="259">
        <f t="shared" ca="1" si="77"/>
        <v>1</v>
      </c>
      <c r="BX41" s="260"/>
      <c r="BY41" s="259">
        <f t="shared" ca="1" si="78"/>
        <v>1</v>
      </c>
      <c r="BZ41" s="260"/>
      <c r="CA41" s="259">
        <f t="shared" ca="1" si="79"/>
        <v>1</v>
      </c>
      <c r="CB41" s="260"/>
    </row>
    <row r="42" spans="2:80" x14ac:dyDescent="0.15">
      <c r="B42" s="9" t="str">
        <f t="shared" ca="1" si="0"/>
        <v>デスタムーア2</v>
      </c>
      <c r="C42" s="9">
        <f t="shared" ca="1" si="1"/>
        <v>37</v>
      </c>
      <c r="D42" s="9">
        <v>291</v>
      </c>
      <c r="F42" s="10" t="s">
        <v>597</v>
      </c>
      <c r="H42" s="98" t="str">
        <f t="shared" ca="1" si="80"/>
        <v>デスタムーア3</v>
      </c>
      <c r="I42" s="108" t="str">
        <f>IF(計算!F39="","",VLOOKUP(計算!F39,敵技,4,0))</f>
        <v>イ</v>
      </c>
      <c r="J42" s="106" t="str">
        <f>IF(計算!F39="","",VLOOKUP(計算!F39,敵技,5,0))</f>
        <v>中</v>
      </c>
      <c r="K42" s="257">
        <f t="shared" ca="1" si="81"/>
        <v>1</v>
      </c>
      <c r="L42" s="258"/>
      <c r="M42" s="259">
        <f t="shared" ca="1" si="49"/>
        <v>1</v>
      </c>
      <c r="N42" s="260"/>
      <c r="O42" s="257">
        <f t="shared" ca="1" si="50"/>
        <v>1</v>
      </c>
      <c r="P42" s="258"/>
      <c r="Q42" s="259">
        <f t="shared" ca="1" si="51"/>
        <v>1</v>
      </c>
      <c r="R42" s="260"/>
      <c r="S42" s="257">
        <f t="shared" ca="1" si="52"/>
        <v>1</v>
      </c>
      <c r="T42" s="258"/>
      <c r="U42" s="259">
        <f t="shared" ca="1" si="53"/>
        <v>1</v>
      </c>
      <c r="V42" s="260"/>
      <c r="W42" s="257">
        <f t="shared" ca="1" si="54"/>
        <v>0.6953125</v>
      </c>
      <c r="X42" s="258"/>
      <c r="Y42" s="259">
        <f t="shared" ca="1" si="55"/>
        <v>0.6953125</v>
      </c>
      <c r="Z42" s="260"/>
      <c r="AA42" s="257">
        <f t="shared" ca="1" si="56"/>
        <v>1</v>
      </c>
      <c r="AB42" s="258"/>
      <c r="AC42" s="259">
        <f t="shared" ca="1" si="57"/>
        <v>1</v>
      </c>
      <c r="AD42" s="260"/>
      <c r="AE42" s="257">
        <f t="shared" ca="1" si="58"/>
        <v>1</v>
      </c>
      <c r="AF42" s="258"/>
      <c r="AG42" s="259">
        <f t="shared" ca="1" si="59"/>
        <v>1</v>
      </c>
      <c r="AH42" s="260"/>
      <c r="AI42" s="257">
        <f t="shared" ca="1" si="60"/>
        <v>1</v>
      </c>
      <c r="AJ42" s="258"/>
      <c r="AK42" s="259">
        <f t="shared" ca="1" si="61"/>
        <v>1</v>
      </c>
      <c r="AL42" s="260"/>
      <c r="AM42" s="257">
        <f t="shared" ca="1" si="62"/>
        <v>1</v>
      </c>
      <c r="AN42" s="258"/>
      <c r="AO42" s="259">
        <f t="shared" ca="1" si="63"/>
        <v>1</v>
      </c>
      <c r="AP42" s="260"/>
      <c r="AT42" s="98" t="str">
        <f t="shared" ca="1" si="82"/>
        <v>バーバラ</v>
      </c>
      <c r="AU42" s="108" t="str">
        <f t="shared" ref="AU42:AV42" si="85">AU19</f>
        <v/>
      </c>
      <c r="AV42" s="108" t="str">
        <f t="shared" si="85"/>
        <v/>
      </c>
      <c r="AW42" s="290">
        <f t="shared" ca="1" si="64"/>
        <v>1</v>
      </c>
      <c r="AX42" s="260"/>
      <c r="AY42" s="259">
        <f t="shared" ca="1" si="65"/>
        <v>1</v>
      </c>
      <c r="AZ42" s="260"/>
      <c r="BA42" s="259">
        <f t="shared" ca="1" si="66"/>
        <v>1</v>
      </c>
      <c r="BB42" s="260"/>
      <c r="BC42" s="259">
        <f t="shared" ca="1" si="67"/>
        <v>1</v>
      </c>
      <c r="BD42" s="260"/>
      <c r="BE42" s="259">
        <f t="shared" ca="1" si="68"/>
        <v>1</v>
      </c>
      <c r="BF42" s="260"/>
      <c r="BG42" s="259">
        <f t="shared" ca="1" si="69"/>
        <v>1</v>
      </c>
      <c r="BH42" s="260"/>
      <c r="BI42" s="259">
        <f t="shared" ca="1" si="70"/>
        <v>1</v>
      </c>
      <c r="BJ42" s="260"/>
      <c r="BK42" s="259">
        <f t="shared" ca="1" si="71"/>
        <v>1</v>
      </c>
      <c r="BL42" s="260"/>
      <c r="BM42" s="259">
        <f t="shared" ca="1" si="72"/>
        <v>1</v>
      </c>
      <c r="BN42" s="260"/>
      <c r="BO42" s="259">
        <f t="shared" ca="1" si="73"/>
        <v>1</v>
      </c>
      <c r="BP42" s="260"/>
      <c r="BQ42" s="259">
        <f t="shared" ca="1" si="74"/>
        <v>1</v>
      </c>
      <c r="BR42" s="260"/>
      <c r="BS42" s="259">
        <f t="shared" ca="1" si="75"/>
        <v>1</v>
      </c>
      <c r="BT42" s="260"/>
      <c r="BU42" s="259">
        <f t="shared" ca="1" si="76"/>
        <v>1</v>
      </c>
      <c r="BV42" s="260"/>
      <c r="BW42" s="259">
        <f t="shared" ca="1" si="77"/>
        <v>1</v>
      </c>
      <c r="BX42" s="260"/>
      <c r="BY42" s="259">
        <f t="shared" ca="1" si="78"/>
        <v>1</v>
      </c>
      <c r="BZ42" s="260"/>
      <c r="CA42" s="259">
        <f t="shared" ca="1" si="79"/>
        <v>1</v>
      </c>
      <c r="CB42" s="260"/>
    </row>
    <row r="43" spans="2:80" x14ac:dyDescent="0.15">
      <c r="B43" s="9" t="str">
        <f t="shared" ca="1" si="0"/>
        <v>デスタムーア3</v>
      </c>
      <c r="C43" s="9">
        <f t="shared" ca="1" si="1"/>
        <v>38</v>
      </c>
      <c r="D43" s="9">
        <v>299</v>
      </c>
      <c r="H43" s="98" t="str">
        <f t="shared" ca="1" si="80"/>
        <v>デスタムーア3</v>
      </c>
      <c r="I43" s="108" t="str">
        <f>IF(計算!F40="","",VLOOKUP(計算!F40,敵技,4,0))</f>
        <v>炎</v>
      </c>
      <c r="J43" s="106" t="str">
        <f>IF(計算!F40="","",VLOOKUP(計算!F40,敵技,5,0))</f>
        <v>高</v>
      </c>
      <c r="K43" s="257">
        <f t="shared" ca="1" si="81"/>
        <v>1</v>
      </c>
      <c r="L43" s="258"/>
      <c r="M43" s="259">
        <f t="shared" ca="1" si="49"/>
        <v>1</v>
      </c>
      <c r="N43" s="260"/>
      <c r="O43" s="257">
        <f t="shared" ca="1" si="50"/>
        <v>1</v>
      </c>
      <c r="P43" s="258"/>
      <c r="Q43" s="259">
        <f t="shared" ca="1" si="51"/>
        <v>1</v>
      </c>
      <c r="R43" s="260"/>
      <c r="S43" s="257">
        <f t="shared" ca="1" si="52"/>
        <v>1</v>
      </c>
      <c r="T43" s="258"/>
      <c r="U43" s="259">
        <f t="shared" ca="1" si="53"/>
        <v>1</v>
      </c>
      <c r="V43" s="260"/>
      <c r="W43" s="257">
        <f t="shared" ca="1" si="54"/>
        <v>1</v>
      </c>
      <c r="X43" s="258"/>
      <c r="Y43" s="259">
        <f t="shared" ca="1" si="55"/>
        <v>1</v>
      </c>
      <c r="Z43" s="260"/>
      <c r="AA43" s="257">
        <f t="shared" ca="1" si="56"/>
        <v>1</v>
      </c>
      <c r="AB43" s="258"/>
      <c r="AC43" s="259">
        <f t="shared" ca="1" si="57"/>
        <v>1</v>
      </c>
      <c r="AD43" s="260"/>
      <c r="AE43" s="257">
        <f t="shared" ca="1" si="58"/>
        <v>1</v>
      </c>
      <c r="AF43" s="258"/>
      <c r="AG43" s="259">
        <f t="shared" ca="1" si="59"/>
        <v>1</v>
      </c>
      <c r="AH43" s="260"/>
      <c r="AI43" s="257">
        <f t="shared" ca="1" si="60"/>
        <v>1</v>
      </c>
      <c r="AJ43" s="258"/>
      <c r="AK43" s="259">
        <f t="shared" ca="1" si="61"/>
        <v>1</v>
      </c>
      <c r="AL43" s="260"/>
      <c r="AM43" s="257">
        <f t="shared" ca="1" si="62"/>
        <v>1</v>
      </c>
      <c r="AN43" s="258"/>
      <c r="AO43" s="259">
        <f t="shared" ca="1" si="63"/>
        <v>1</v>
      </c>
      <c r="AP43" s="260"/>
      <c r="AT43" s="98" t="str">
        <f t="shared" ca="1" si="82"/>
        <v>チャモロ</v>
      </c>
      <c r="AU43" s="108" t="str">
        <f t="shared" ref="AU43:AV43" si="86">AU20</f>
        <v/>
      </c>
      <c r="AV43" s="108" t="str">
        <f t="shared" si="86"/>
        <v/>
      </c>
      <c r="AW43" s="290">
        <f t="shared" ca="1" si="64"/>
        <v>1</v>
      </c>
      <c r="AX43" s="260"/>
      <c r="AY43" s="259">
        <f t="shared" ca="1" si="65"/>
        <v>1</v>
      </c>
      <c r="AZ43" s="260"/>
      <c r="BA43" s="259">
        <f t="shared" ca="1" si="66"/>
        <v>1</v>
      </c>
      <c r="BB43" s="260"/>
      <c r="BC43" s="259">
        <f t="shared" ca="1" si="67"/>
        <v>1</v>
      </c>
      <c r="BD43" s="260"/>
      <c r="BE43" s="259">
        <f t="shared" ca="1" si="68"/>
        <v>1</v>
      </c>
      <c r="BF43" s="260"/>
      <c r="BG43" s="259">
        <f t="shared" ca="1" si="69"/>
        <v>1</v>
      </c>
      <c r="BH43" s="260"/>
      <c r="BI43" s="259">
        <f t="shared" ca="1" si="70"/>
        <v>1</v>
      </c>
      <c r="BJ43" s="260"/>
      <c r="BK43" s="259">
        <f t="shared" ca="1" si="71"/>
        <v>1</v>
      </c>
      <c r="BL43" s="260"/>
      <c r="BM43" s="259">
        <f t="shared" ca="1" si="72"/>
        <v>1</v>
      </c>
      <c r="BN43" s="260"/>
      <c r="BO43" s="259">
        <f t="shared" ca="1" si="73"/>
        <v>1</v>
      </c>
      <c r="BP43" s="260"/>
      <c r="BQ43" s="259">
        <f t="shared" ca="1" si="74"/>
        <v>1</v>
      </c>
      <c r="BR43" s="260"/>
      <c r="BS43" s="259">
        <f t="shared" ca="1" si="75"/>
        <v>1</v>
      </c>
      <c r="BT43" s="260"/>
      <c r="BU43" s="259">
        <f t="shared" ca="1" si="76"/>
        <v>1</v>
      </c>
      <c r="BV43" s="260"/>
      <c r="BW43" s="259">
        <f t="shared" ca="1" si="77"/>
        <v>1</v>
      </c>
      <c r="BX43" s="260"/>
      <c r="BY43" s="259">
        <f t="shared" ca="1" si="78"/>
        <v>1</v>
      </c>
      <c r="BZ43" s="260"/>
      <c r="CA43" s="259">
        <f t="shared" ca="1" si="79"/>
        <v>1</v>
      </c>
      <c r="CB43" s="260"/>
    </row>
    <row r="44" spans="2:80" x14ac:dyDescent="0.15">
      <c r="B44" s="9">
        <f t="shared" ca="1" si="0"/>
        <v>0</v>
      </c>
      <c r="C44" s="9">
        <f t="shared" ca="1" si="1"/>
        <v>39</v>
      </c>
      <c r="D44" s="9">
        <v>307</v>
      </c>
      <c r="F44" s="114" t="s">
        <v>647</v>
      </c>
      <c r="H44" s="98" t="str">
        <f t="shared" ca="1" si="80"/>
        <v>ひだりて</v>
      </c>
      <c r="I44" s="108" t="str">
        <f>IF(計算!F41="","",VLOOKUP(計算!F41,敵技,4,0))</f>
        <v>叩</v>
      </c>
      <c r="J44" s="106" t="str">
        <f>IF(計算!F41="","",VLOOKUP(計算!F41,敵技,5,0))</f>
        <v>物理</v>
      </c>
      <c r="K44" s="257">
        <f t="shared" ca="1" si="81"/>
        <v>1</v>
      </c>
      <c r="L44" s="258"/>
      <c r="M44" s="259">
        <f t="shared" ca="1" si="49"/>
        <v>1</v>
      </c>
      <c r="N44" s="260"/>
      <c r="O44" s="257">
        <f t="shared" ca="1" si="50"/>
        <v>1</v>
      </c>
      <c r="P44" s="258"/>
      <c r="Q44" s="259">
        <f t="shared" ca="1" si="51"/>
        <v>1</v>
      </c>
      <c r="R44" s="260"/>
      <c r="S44" s="257">
        <f t="shared" ca="1" si="52"/>
        <v>1</v>
      </c>
      <c r="T44" s="258"/>
      <c r="U44" s="259">
        <f t="shared" ca="1" si="53"/>
        <v>1</v>
      </c>
      <c r="V44" s="260"/>
      <c r="W44" s="257">
        <f t="shared" ca="1" si="54"/>
        <v>1</v>
      </c>
      <c r="X44" s="258"/>
      <c r="Y44" s="259">
        <f t="shared" ca="1" si="55"/>
        <v>1</v>
      </c>
      <c r="Z44" s="260"/>
      <c r="AA44" s="257">
        <f t="shared" ca="1" si="56"/>
        <v>1</v>
      </c>
      <c r="AB44" s="258"/>
      <c r="AC44" s="259">
        <f t="shared" ca="1" si="57"/>
        <v>1</v>
      </c>
      <c r="AD44" s="260"/>
      <c r="AE44" s="257">
        <f t="shared" ca="1" si="58"/>
        <v>1</v>
      </c>
      <c r="AF44" s="258"/>
      <c r="AG44" s="259">
        <f t="shared" ca="1" si="59"/>
        <v>1</v>
      </c>
      <c r="AH44" s="260"/>
      <c r="AI44" s="257">
        <f t="shared" ca="1" si="60"/>
        <v>1</v>
      </c>
      <c r="AJ44" s="258"/>
      <c r="AK44" s="259">
        <f t="shared" ca="1" si="61"/>
        <v>1</v>
      </c>
      <c r="AL44" s="260"/>
      <c r="AM44" s="257">
        <f t="shared" ca="1" si="62"/>
        <v>1</v>
      </c>
      <c r="AN44" s="258"/>
      <c r="AO44" s="259">
        <f t="shared" ca="1" si="63"/>
        <v>1</v>
      </c>
      <c r="AP44" s="260"/>
      <c r="AT44" s="98" t="str">
        <f t="shared" ca="1" si="82"/>
        <v>アモス</v>
      </c>
      <c r="AU44" s="108" t="str">
        <f t="shared" ref="AU44:AV44" si="87">AU21</f>
        <v/>
      </c>
      <c r="AV44" s="108" t="str">
        <f t="shared" si="87"/>
        <v/>
      </c>
      <c r="AW44" s="290">
        <f t="shared" ca="1" si="64"/>
        <v>1</v>
      </c>
      <c r="AX44" s="260"/>
      <c r="AY44" s="259">
        <f t="shared" ca="1" si="65"/>
        <v>1</v>
      </c>
      <c r="AZ44" s="260"/>
      <c r="BA44" s="259">
        <f t="shared" ca="1" si="66"/>
        <v>1</v>
      </c>
      <c r="BB44" s="260"/>
      <c r="BC44" s="259">
        <f t="shared" ca="1" si="67"/>
        <v>1</v>
      </c>
      <c r="BD44" s="260"/>
      <c r="BE44" s="259">
        <f t="shared" ca="1" si="68"/>
        <v>1</v>
      </c>
      <c r="BF44" s="260"/>
      <c r="BG44" s="259">
        <f t="shared" ca="1" si="69"/>
        <v>1</v>
      </c>
      <c r="BH44" s="260"/>
      <c r="BI44" s="259">
        <f t="shared" ca="1" si="70"/>
        <v>1</v>
      </c>
      <c r="BJ44" s="260"/>
      <c r="BK44" s="259">
        <f t="shared" ca="1" si="71"/>
        <v>1</v>
      </c>
      <c r="BL44" s="260"/>
      <c r="BM44" s="259">
        <f t="shared" ca="1" si="72"/>
        <v>1</v>
      </c>
      <c r="BN44" s="260"/>
      <c r="BO44" s="259">
        <f t="shared" ca="1" si="73"/>
        <v>1</v>
      </c>
      <c r="BP44" s="260"/>
      <c r="BQ44" s="259">
        <f t="shared" ca="1" si="74"/>
        <v>1</v>
      </c>
      <c r="BR44" s="260"/>
      <c r="BS44" s="259">
        <f t="shared" ca="1" si="75"/>
        <v>1</v>
      </c>
      <c r="BT44" s="260"/>
      <c r="BU44" s="259">
        <f t="shared" ca="1" si="76"/>
        <v>1</v>
      </c>
      <c r="BV44" s="260"/>
      <c r="BW44" s="259">
        <f t="shared" ca="1" si="77"/>
        <v>1</v>
      </c>
      <c r="BX44" s="260"/>
      <c r="BY44" s="259">
        <f t="shared" ca="1" si="78"/>
        <v>1</v>
      </c>
      <c r="BZ44" s="260"/>
      <c r="CA44" s="259">
        <f t="shared" ca="1" si="79"/>
        <v>1</v>
      </c>
      <c r="CB44" s="260"/>
    </row>
    <row r="45" spans="2:80" x14ac:dyDescent="0.15">
      <c r="B45" s="9">
        <f t="shared" ca="1" si="0"/>
        <v>0</v>
      </c>
      <c r="C45" s="9">
        <f t="shared" ca="1" si="1"/>
        <v>40</v>
      </c>
      <c r="D45" s="9">
        <v>315</v>
      </c>
      <c r="F45" s="8">
        <v>1.5</v>
      </c>
      <c r="H45" s="98" t="str">
        <f t="shared" ca="1" si="80"/>
        <v>みぎて</v>
      </c>
      <c r="I45" s="108" t="str">
        <f>IF(計算!F42="","",VLOOKUP(計算!F42,敵技,4,0))</f>
        <v>叩</v>
      </c>
      <c r="J45" s="106" t="str">
        <f>IF(計算!F42="","",VLOOKUP(計算!F42,敵技,5,0))</f>
        <v>物理</v>
      </c>
      <c r="K45" s="257">
        <f t="shared" ca="1" si="81"/>
        <v>1</v>
      </c>
      <c r="L45" s="258"/>
      <c r="M45" s="259">
        <f t="shared" ca="1" si="49"/>
        <v>1</v>
      </c>
      <c r="N45" s="260"/>
      <c r="O45" s="257">
        <f t="shared" ca="1" si="50"/>
        <v>1</v>
      </c>
      <c r="P45" s="258"/>
      <c r="Q45" s="259">
        <f t="shared" ca="1" si="51"/>
        <v>1</v>
      </c>
      <c r="R45" s="260"/>
      <c r="S45" s="257">
        <f t="shared" ca="1" si="52"/>
        <v>1</v>
      </c>
      <c r="T45" s="258"/>
      <c r="U45" s="259">
        <f t="shared" ca="1" si="53"/>
        <v>1</v>
      </c>
      <c r="V45" s="260"/>
      <c r="W45" s="257">
        <f t="shared" ca="1" si="54"/>
        <v>1</v>
      </c>
      <c r="X45" s="258"/>
      <c r="Y45" s="259">
        <f t="shared" ca="1" si="55"/>
        <v>1</v>
      </c>
      <c r="Z45" s="260"/>
      <c r="AA45" s="257">
        <f t="shared" ca="1" si="56"/>
        <v>1</v>
      </c>
      <c r="AB45" s="258"/>
      <c r="AC45" s="259">
        <f t="shared" ca="1" si="57"/>
        <v>1</v>
      </c>
      <c r="AD45" s="260"/>
      <c r="AE45" s="257">
        <f t="shared" ca="1" si="58"/>
        <v>1</v>
      </c>
      <c r="AF45" s="258"/>
      <c r="AG45" s="259">
        <f t="shared" ca="1" si="59"/>
        <v>1</v>
      </c>
      <c r="AH45" s="260"/>
      <c r="AI45" s="257">
        <f t="shared" ca="1" si="60"/>
        <v>1</v>
      </c>
      <c r="AJ45" s="258"/>
      <c r="AK45" s="259">
        <f t="shared" ca="1" si="61"/>
        <v>1</v>
      </c>
      <c r="AL45" s="260"/>
      <c r="AM45" s="257">
        <f t="shared" ca="1" si="62"/>
        <v>1</v>
      </c>
      <c r="AN45" s="258"/>
      <c r="AO45" s="259">
        <f t="shared" ca="1" si="63"/>
        <v>1</v>
      </c>
      <c r="AP45" s="260"/>
      <c r="AT45" s="98" t="str">
        <f t="shared" ca="1" si="82"/>
        <v>テリー</v>
      </c>
      <c r="AU45" s="108" t="str">
        <f t="shared" ref="AU45:AV45" si="88">AU22</f>
        <v>デ</v>
      </c>
      <c r="AV45" s="108" t="str">
        <f t="shared" si="88"/>
        <v>中</v>
      </c>
      <c r="AW45" s="290">
        <f t="shared" ca="1" si="64"/>
        <v>0.6953125</v>
      </c>
      <c r="AX45" s="260"/>
      <c r="AY45" s="259">
        <f t="shared" ca="1" si="65"/>
        <v>0.6953125</v>
      </c>
      <c r="AZ45" s="260"/>
      <c r="BA45" s="259">
        <f t="shared" ca="1" si="66"/>
        <v>0.6953125</v>
      </c>
      <c r="BB45" s="260"/>
      <c r="BC45" s="259">
        <f t="shared" ca="1" si="67"/>
        <v>0.6953125</v>
      </c>
      <c r="BD45" s="260"/>
      <c r="BE45" s="259">
        <f t="shared" ca="1" si="68"/>
        <v>0.6953125</v>
      </c>
      <c r="BF45" s="260"/>
      <c r="BG45" s="259">
        <f t="shared" ca="1" si="69"/>
        <v>0.6953125</v>
      </c>
      <c r="BH45" s="260"/>
      <c r="BI45" s="259">
        <f t="shared" ca="1" si="70"/>
        <v>0.6953125</v>
      </c>
      <c r="BJ45" s="260"/>
      <c r="BK45" s="259">
        <f t="shared" ca="1" si="71"/>
        <v>0.6953125</v>
      </c>
      <c r="BL45" s="260"/>
      <c r="BM45" s="259">
        <f t="shared" ca="1" si="72"/>
        <v>0.6953125</v>
      </c>
      <c r="BN45" s="260"/>
      <c r="BO45" s="259">
        <f t="shared" ca="1" si="73"/>
        <v>0.6953125</v>
      </c>
      <c r="BP45" s="260"/>
      <c r="BQ45" s="259">
        <f t="shared" ca="1" si="74"/>
        <v>1</v>
      </c>
      <c r="BR45" s="260"/>
      <c r="BS45" s="259">
        <f t="shared" ca="1" si="75"/>
        <v>1</v>
      </c>
      <c r="BT45" s="260"/>
      <c r="BU45" s="259">
        <f t="shared" ca="1" si="76"/>
        <v>1</v>
      </c>
      <c r="BV45" s="260"/>
      <c r="BW45" s="259">
        <f t="shared" ca="1" si="77"/>
        <v>1</v>
      </c>
      <c r="BX45" s="260"/>
      <c r="BY45" s="259">
        <f t="shared" ca="1" si="78"/>
        <v>1</v>
      </c>
      <c r="BZ45" s="260"/>
      <c r="CA45" s="259">
        <f t="shared" ca="1" si="79"/>
        <v>1</v>
      </c>
      <c r="CB45" s="260"/>
    </row>
    <row r="46" spans="2:80" x14ac:dyDescent="0.15">
      <c r="B46" s="9">
        <f t="shared" ca="1" si="0"/>
        <v>0</v>
      </c>
      <c r="C46" s="9">
        <f t="shared" ca="1" si="1"/>
        <v>0</v>
      </c>
      <c r="D46" s="9">
        <v>323</v>
      </c>
      <c r="F46" s="10">
        <v>1.5</v>
      </c>
      <c r="H46" s="98" t="str">
        <f t="shared" ca="1" si="80"/>
        <v>みぎて</v>
      </c>
      <c r="I46" s="108" t="str">
        <f>IF(計算!F43="","",VLOOKUP(計算!F43,敵技,4,0))</f>
        <v>なし</v>
      </c>
      <c r="J46" s="106" t="str">
        <f>IF(計算!F43="","",VLOOKUP(計算!F43,敵技,5,0))</f>
        <v>物理</v>
      </c>
      <c r="K46" s="257">
        <f t="shared" ca="1" si="81"/>
        <v>1</v>
      </c>
      <c r="L46" s="258"/>
      <c r="M46" s="259">
        <f t="shared" ca="1" si="49"/>
        <v>1</v>
      </c>
      <c r="N46" s="260"/>
      <c r="O46" s="257">
        <f t="shared" ca="1" si="50"/>
        <v>1</v>
      </c>
      <c r="P46" s="258"/>
      <c r="Q46" s="259">
        <f t="shared" ca="1" si="51"/>
        <v>1</v>
      </c>
      <c r="R46" s="260"/>
      <c r="S46" s="257">
        <f t="shared" ca="1" si="52"/>
        <v>1</v>
      </c>
      <c r="T46" s="258"/>
      <c r="U46" s="259">
        <f t="shared" ca="1" si="53"/>
        <v>1</v>
      </c>
      <c r="V46" s="260"/>
      <c r="W46" s="257">
        <f t="shared" ca="1" si="54"/>
        <v>1</v>
      </c>
      <c r="X46" s="258"/>
      <c r="Y46" s="259">
        <f t="shared" ca="1" si="55"/>
        <v>1</v>
      </c>
      <c r="Z46" s="260"/>
      <c r="AA46" s="257">
        <f t="shared" ca="1" si="56"/>
        <v>1</v>
      </c>
      <c r="AB46" s="258"/>
      <c r="AC46" s="259">
        <f t="shared" ca="1" si="57"/>
        <v>1</v>
      </c>
      <c r="AD46" s="260"/>
      <c r="AE46" s="257">
        <f t="shared" ca="1" si="58"/>
        <v>1</v>
      </c>
      <c r="AF46" s="258"/>
      <c r="AG46" s="259">
        <f t="shared" ca="1" si="59"/>
        <v>1</v>
      </c>
      <c r="AH46" s="260"/>
      <c r="AI46" s="257">
        <f t="shared" ca="1" si="60"/>
        <v>1</v>
      </c>
      <c r="AJ46" s="258"/>
      <c r="AK46" s="259">
        <f t="shared" ca="1" si="61"/>
        <v>1</v>
      </c>
      <c r="AL46" s="260"/>
      <c r="AM46" s="257">
        <f t="shared" ca="1" si="62"/>
        <v>1</v>
      </c>
      <c r="AN46" s="258"/>
      <c r="AO46" s="259">
        <f t="shared" ca="1" si="63"/>
        <v>1</v>
      </c>
      <c r="AP46" s="260"/>
      <c r="AT46" s="98" t="str">
        <f t="shared" ca="1" si="82"/>
        <v>ドランゴ</v>
      </c>
      <c r="AU46" s="108" t="str">
        <f t="shared" ref="AU46:AV46" si="89">AU23</f>
        <v>なし</v>
      </c>
      <c r="AV46" s="108" t="str">
        <f t="shared" si="89"/>
        <v>物理</v>
      </c>
      <c r="AW46" s="257">
        <f t="shared" ca="1" si="64"/>
        <v>1</v>
      </c>
      <c r="AX46" s="258"/>
      <c r="AY46" s="259">
        <f t="shared" ca="1" si="65"/>
        <v>1</v>
      </c>
      <c r="AZ46" s="260"/>
      <c r="BA46" s="278">
        <f t="shared" ca="1" si="66"/>
        <v>1</v>
      </c>
      <c r="BB46" s="258"/>
      <c r="BC46" s="259">
        <f t="shared" ca="1" si="67"/>
        <v>1</v>
      </c>
      <c r="BD46" s="260"/>
      <c r="BE46" s="278">
        <f t="shared" ca="1" si="68"/>
        <v>1</v>
      </c>
      <c r="BF46" s="258"/>
      <c r="BG46" s="259">
        <f t="shared" ca="1" si="69"/>
        <v>1</v>
      </c>
      <c r="BH46" s="260"/>
      <c r="BI46" s="278">
        <f t="shared" ca="1" si="70"/>
        <v>1</v>
      </c>
      <c r="BJ46" s="258"/>
      <c r="BK46" s="259">
        <f t="shared" ca="1" si="71"/>
        <v>1</v>
      </c>
      <c r="BL46" s="260"/>
      <c r="BM46" s="278">
        <f t="shared" ca="1" si="72"/>
        <v>1</v>
      </c>
      <c r="BN46" s="258"/>
      <c r="BO46" s="259">
        <f t="shared" ca="1" si="73"/>
        <v>1</v>
      </c>
      <c r="BP46" s="260"/>
      <c r="BQ46" s="278">
        <f t="shared" ca="1" si="74"/>
        <v>1</v>
      </c>
      <c r="BR46" s="258"/>
      <c r="BS46" s="259">
        <f t="shared" ca="1" si="75"/>
        <v>1</v>
      </c>
      <c r="BT46" s="260"/>
      <c r="BU46" s="278">
        <f t="shared" ca="1" si="76"/>
        <v>1</v>
      </c>
      <c r="BV46" s="258"/>
      <c r="BW46" s="259">
        <f t="shared" ca="1" si="77"/>
        <v>1</v>
      </c>
      <c r="BX46" s="260"/>
      <c r="BY46" s="278">
        <f t="shared" ca="1" si="78"/>
        <v>1</v>
      </c>
      <c r="BZ46" s="258"/>
      <c r="CA46" s="259">
        <f t="shared" ca="1" si="79"/>
        <v>1</v>
      </c>
      <c r="CB46" s="260"/>
    </row>
    <row r="47" spans="2:80" x14ac:dyDescent="0.15">
      <c r="B47" s="9">
        <f t="shared" ca="1" si="0"/>
        <v>0</v>
      </c>
      <c r="C47" s="9">
        <f t="shared" ca="1" si="1"/>
        <v>0</v>
      </c>
      <c r="D47" s="9">
        <v>331</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row>
    <row r="48" spans="2:80" x14ac:dyDescent="0.15">
      <c r="B48" s="9">
        <f t="shared" ca="1" si="0"/>
        <v>0</v>
      </c>
      <c r="C48" s="9">
        <f t="shared" ca="1" si="1"/>
        <v>0</v>
      </c>
      <c r="D48" s="9">
        <v>339</v>
      </c>
      <c r="F48" s="114" t="s">
        <v>648</v>
      </c>
      <c r="H48" s="263" t="s">
        <v>629</v>
      </c>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T48" s="267" t="s">
        <v>725</v>
      </c>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9"/>
    </row>
    <row r="49" spans="2:80" x14ac:dyDescent="0.15">
      <c r="B49" s="9">
        <f t="shared" ca="1" si="0"/>
        <v>0</v>
      </c>
      <c r="C49" s="9">
        <f t="shared" ca="1" si="1"/>
        <v>0</v>
      </c>
      <c r="D49" s="9">
        <v>347</v>
      </c>
      <c r="F49" s="8">
        <v>2</v>
      </c>
      <c r="H49" s="116" t="s">
        <v>626</v>
      </c>
      <c r="I49" s="116" t="s">
        <v>627</v>
      </c>
      <c r="J49" s="116" t="s">
        <v>628</v>
      </c>
      <c r="K49" s="264" t="str">
        <f ca="1">K$5</f>
        <v>主人公</v>
      </c>
      <c r="L49" s="265"/>
      <c r="M49" s="265"/>
      <c r="N49" s="266"/>
      <c r="O49" s="264" t="str">
        <f t="shared" ref="O49" ca="1" si="90">O$5</f>
        <v>ハッサン</v>
      </c>
      <c r="P49" s="265"/>
      <c r="Q49" s="265"/>
      <c r="R49" s="266"/>
      <c r="S49" s="264" t="str">
        <f t="shared" ref="S49" ca="1" si="91">S$5</f>
        <v>ミレーユ</v>
      </c>
      <c r="T49" s="265"/>
      <c r="U49" s="265"/>
      <c r="V49" s="266"/>
      <c r="W49" s="264" t="str">
        <f t="shared" ref="W49" ca="1" si="92">W$5</f>
        <v>バーバラ</v>
      </c>
      <c r="X49" s="265"/>
      <c r="Y49" s="265"/>
      <c r="Z49" s="266"/>
      <c r="AA49" s="264" t="str">
        <f t="shared" ref="AA49" ca="1" si="93">AA$5</f>
        <v>チャモロ</v>
      </c>
      <c r="AB49" s="265"/>
      <c r="AC49" s="265"/>
      <c r="AD49" s="266"/>
      <c r="AE49" s="264" t="str">
        <f t="shared" ref="AE49" ca="1" si="94">AE$5</f>
        <v>アモス</v>
      </c>
      <c r="AF49" s="265"/>
      <c r="AG49" s="265"/>
      <c r="AH49" s="266"/>
      <c r="AI49" s="264" t="str">
        <f t="shared" ref="AI49" ca="1" si="95">AI$5</f>
        <v>テリー</v>
      </c>
      <c r="AJ49" s="265"/>
      <c r="AK49" s="265"/>
      <c r="AL49" s="266"/>
      <c r="AM49" s="264" t="str">
        <f t="shared" ref="AM49" ca="1" si="96">AM$5</f>
        <v>ドランゴ</v>
      </c>
      <c r="AN49" s="265"/>
      <c r="AO49" s="265"/>
      <c r="AP49" s="266"/>
      <c r="AT49" s="103" t="s">
        <v>449</v>
      </c>
      <c r="AU49" s="133" t="s">
        <v>201</v>
      </c>
      <c r="AV49" s="131" t="s">
        <v>579</v>
      </c>
      <c r="AW49" s="264" t="str">
        <f ca="1">AW$5</f>
        <v>デスタムーア3</v>
      </c>
      <c r="AX49" s="265"/>
      <c r="AY49" s="265"/>
      <c r="AZ49" s="266"/>
      <c r="BA49" s="264" t="str">
        <f t="shared" ref="BA49" ca="1" si="97">BA$5</f>
        <v>デスタムーア3</v>
      </c>
      <c r="BB49" s="265"/>
      <c r="BC49" s="265"/>
      <c r="BD49" s="266"/>
      <c r="BE49" s="264" t="str">
        <f t="shared" ref="BE49" ca="1" si="98">BE$5</f>
        <v>デスタムーア3</v>
      </c>
      <c r="BF49" s="265"/>
      <c r="BG49" s="265"/>
      <c r="BH49" s="266"/>
      <c r="BI49" s="264" t="str">
        <f t="shared" ref="BI49" ca="1" si="99">BI$5</f>
        <v>デスタムーア3</v>
      </c>
      <c r="BJ49" s="265"/>
      <c r="BK49" s="265"/>
      <c r="BL49" s="266"/>
      <c r="BM49" s="264" t="str">
        <f t="shared" ref="BM49" ca="1" si="100">BM$5</f>
        <v>デスタムーア3</v>
      </c>
      <c r="BN49" s="265"/>
      <c r="BO49" s="265"/>
      <c r="BP49" s="266"/>
      <c r="BQ49" s="264" t="str">
        <f t="shared" ref="BQ49" ca="1" si="101">BQ$5</f>
        <v>ひだりて</v>
      </c>
      <c r="BR49" s="265"/>
      <c r="BS49" s="265"/>
      <c r="BT49" s="266"/>
      <c r="BU49" s="264" t="str">
        <f t="shared" ref="BU49" ca="1" si="102">BU$5</f>
        <v>みぎて</v>
      </c>
      <c r="BV49" s="265"/>
      <c r="BW49" s="265"/>
      <c r="BX49" s="266"/>
      <c r="BY49" s="264" t="str">
        <f t="shared" ref="BY49" ca="1" si="103">BY$5</f>
        <v>みぎて</v>
      </c>
      <c r="BZ49" s="265"/>
      <c r="CA49" s="265"/>
      <c r="CB49" s="266"/>
    </row>
    <row r="50" spans="2:80" x14ac:dyDescent="0.15">
      <c r="B50" s="9">
        <f t="shared" ca="1" si="0"/>
        <v>0</v>
      </c>
      <c r="C50" s="9">
        <f t="shared" ca="1" si="1"/>
        <v>0</v>
      </c>
      <c r="D50" s="9">
        <v>355</v>
      </c>
      <c r="F50" s="10">
        <v>2.5</v>
      </c>
      <c r="H50" s="98" t="str">
        <f ca="1">$H5</f>
        <v>デスタムーア3</v>
      </c>
      <c r="I50" s="108" t="str">
        <f>IF(計算!F36="","",VLOOKUP(計算!F36,敵技,4,0))</f>
        <v>なし</v>
      </c>
      <c r="J50" s="106" t="str">
        <f>IF(計算!F36="","",VLOOKUP(計算!F36,敵技,5,0))</f>
        <v>無視</v>
      </c>
      <c r="K50" s="257">
        <f ca="1">IF(OR($H16="",K$15=""),"",IF($I50="念",VLOOKUP("念じボール",敵技,6,0),IF($I50="叩",VLOOKUP("叩きつける",敵技,6,0),0))+MAX(0,ROUNDDOWN(IF(K$9="あり",0.5,IF(K$9="大防御",0.1,1))*ROUNDDOWN((ROUNDDOWN((計算!$I4-ROUNDDOWN((計算!$AG$4+MAX(-(計算!$AG$4),MIN(200,(ROUNDDOWN(計算!$AG$4/2,0)*K$10+ROUNDDOWN(計算!$AG$4/4,0)*K$11))))/2,0))/2,0)-(1+ROUNDDOWN(ROUNDDOWN((計算!$I4-ROUNDDOWN((計算!$AG$4+MAX(-(計算!$AG$4),MIN(200,(ROUNDDOWN(計算!$AG$4/2,0)*K$10+ROUNDDOWN(計算!$AG$4/4,0)*K$11))))/2,0))/2,0)/16,0)))/2,0),0)))</f>
        <v>44</v>
      </c>
      <c r="L50" s="258"/>
      <c r="M50" s="259">
        <f ca="1">IF(OR($H16="",K$15=""),"",IF($I50="念",VLOOKUP("念じボール",敵技,6,0),IF($I50="叩",VLOOKUP("叩きつける",敵技,6,0),0))+MAX(1,ROUNDDOWN(IF(K$9="あり",0.5,IF(K$9="大防御",0.1,1))*ROUNDDOWN((ROUNDDOWN((計算!$I4-ROUNDDOWN((計算!$AG$4+MAX(-(計算!$AG$4),MIN(200,(ROUNDDOWN(計算!$AG$4/2,0)*K$10+ROUNDDOWN(計算!$AG$4/4,0)*K$11))))/2,0))/2,0)+(1+ROUNDDOWN(ROUNDDOWN((計算!$I4-ROUNDDOWN((計算!$AG$4+MAX(-(計算!$AG$4),MIN(200,(ROUNDDOWN(計算!$AG$4/2,0)*K$10+ROUNDDOWN(計算!$AG$4/4,0)*K$11))))/2,0))/2,0)/16,0)))/2,0),0)))</f>
        <v>51</v>
      </c>
      <c r="N50" s="260"/>
      <c r="O50" s="257">
        <f ca="1">IF(OR($H16="",O$15=""),"",IF($I50="念",VLOOKUP("念じボール",敵技,6,0),IF($I50="叩",VLOOKUP("叩きつける",敵技,6,0),0))+MAX(0,ROUNDDOWN(IF(O$9="あり",0.5,IF(O$9="大防御",0.1,1))*ROUNDDOWN((ROUNDDOWN((計算!$I4-ROUNDDOWN((計算!$AG$5+MAX(-(計算!$AG$5),MIN(200,(ROUNDDOWN(計算!$AG$5/2,0)*O$10+ROUNDDOWN(計算!$AG$5/4,0)*O$11))))/2,0))/2,0)-(1+ROUNDDOWN(ROUNDDOWN((計算!$I4-ROUNDDOWN((計算!$AG$5+MAX(-(計算!$AG$5),MIN(200,(ROUNDDOWN(計算!$AG$5/2,0)*O$10+ROUNDDOWN(計算!$AG$5/4,0)*O$11))))/2,0))/2,0)/16,0)))/2,0),0)))</f>
        <v>37</v>
      </c>
      <c r="P50" s="258"/>
      <c r="Q50" s="259">
        <f ca="1">IF(OR($H16="",O$15=""),"",IF($I50="念",VLOOKUP("念じボール",敵技,6,0),IF($I50="叩",VLOOKUP("叩きつける",敵技,6,0),0))+MAX(1,ROUNDDOWN(IF(O$9="あり",0.5,IF(O$9="大防御",0.1,1))*ROUNDDOWN((ROUNDDOWN((計算!$I4-ROUNDDOWN((計算!$AG$5+MAX(-(計算!$AG$5),MIN(200,(ROUNDDOWN(計算!$AG$5/2,0)*O$10+ROUNDDOWN(計算!$AG$5/4,0)*O$11))))/2,0))/2,0)+(1+ROUNDDOWN(ROUNDDOWN((計算!$I4-ROUNDDOWN((計算!$AG$5+MAX(-(計算!$AG$5),MIN(200,(ROUNDDOWN(計算!$AG$5/2,0)*O$10+ROUNDDOWN(計算!$AG$5/4,0)*O$11))))/2,0))/2,0)/16,0)))/2,0),0)))</f>
        <v>43</v>
      </c>
      <c r="R50" s="260"/>
      <c r="S50" s="257">
        <f ca="1">IF(OR($H16="",S$15=""),"",IF($I50="念",VLOOKUP("念じボール",敵技,6,0),IF($I50="叩",VLOOKUP("叩きつける",敵技,6,0),0))+MAX(0,ROUNDDOWN(IF(S$9="あり",0.5,IF(S$9="大防御",0.1,1))*ROUNDDOWN((ROUNDDOWN((計算!$I4-ROUNDDOWN((計算!$AG$6+MAX(-(計算!$AG$6),MIN(200,(ROUNDDOWN(計算!$AG$6/2,0)*S$10+ROUNDDOWN(計算!$AG$6/4,0)*S$11))))/2,0))/2,0)-(1+ROUNDDOWN(ROUNDDOWN((計算!$I4-ROUNDDOWN((計算!$AG$6+MAX(-(計算!$AG$6),MIN(200,(ROUNDDOWN(計算!$AG$6/2,0)*S$10+ROUNDDOWN(計算!$AG$6/4,0)*S$11))))/2,0))/2,0)/16,0)))/2,0),0)))</f>
        <v>57</v>
      </c>
      <c r="T50" s="258"/>
      <c r="U50" s="259">
        <f ca="1">IF(OR($H16="",S$15=""),"",IF($I50="念",VLOOKUP("念じボール",敵技,6,0),IF($I50="叩",VLOOKUP("叩きつける",敵技,6,0),0))+MAX(1,ROUNDDOWN(IF(S$9="あり",0.5,IF(S$9="大防御",0.1,1))*ROUNDDOWN((ROUNDDOWN((計算!$I4-ROUNDDOWN((計算!$AG$6+MAX(-(計算!$AG$6),MIN(200,(ROUNDDOWN(計算!$AG$6/2,0)*S$10+ROUNDDOWN(計算!$AG$6/4,0)*S$11))))/2,0))/2,0)+(1+ROUNDDOWN(ROUNDDOWN((計算!$I4-ROUNDDOWN((計算!$AG$6+MAX(-(計算!$AG$6),MIN(200,(ROUNDDOWN(計算!$AG$6/2,0)*S$10+ROUNDDOWN(計算!$AG$6/4,0)*S$11))))/2,0))/2,0)/16,0)))/2,0),0)))</f>
        <v>65</v>
      </c>
      <c r="V50" s="260"/>
      <c r="W50" s="257">
        <f ca="1">IF(OR($H16="",W$15=""),"",IF($I50="念",VLOOKUP("念じボール",敵技,6,0),IF($I50="叩",VLOOKUP("叩きつける",敵技,6,0),0))+MAX(0,ROUNDDOWN(IF(W$9="あり",0.5,IF(W$9="大防御",0.1,1))*ROUNDDOWN((ROUNDDOWN((計算!$I4-ROUNDDOWN((計算!$AG$7+MAX(-(計算!$AG$7),MIN(200,(ROUNDDOWN(計算!$AG$7/2,0)*W$10+ROUNDDOWN(計算!$AG$7/4,0)*W$11))))/2,0))/2,0)-(1+ROUNDDOWN(ROUNDDOWN((計算!$I4-ROUNDDOWN((計算!$AG$7+MAX(-(計算!$AG$7),MIN(200,(ROUNDDOWN(計算!$AG$7/2,0)*W$10+ROUNDDOWN(計算!$AG$7/4,0)*W$11))))/2,0))/2,0)/16,0)))/2,0),0)))</f>
        <v>64</v>
      </c>
      <c r="X50" s="258"/>
      <c r="Y50" s="259">
        <f ca="1">IF(OR($H16="",W$15=""),"",IF($I50="念",VLOOKUP("念じボール",敵技,6,0),IF($I50="叩",VLOOKUP("叩きつける",敵技,6,0),0))+MAX(1,ROUNDDOWN(IF(W$9="あり",0.5,IF(W$9="大防御",0.1,1))*ROUNDDOWN((ROUNDDOWN((計算!$I4-ROUNDDOWN((計算!$AG$7+MAX(-(計算!$AG$7),MIN(200,(ROUNDDOWN(計算!$AG$7/2,0)*W$10+ROUNDDOWN(計算!$AG$7/4,0)*W$11))))/2,0))/2,0)+(1+ROUNDDOWN(ROUNDDOWN((計算!$I4-ROUNDDOWN((計算!$AG$7+MAX(-(計算!$AG$7),MIN(200,(ROUNDDOWN(計算!$AG$7/2,0)*W$10+ROUNDDOWN(計算!$AG$7/4,0)*W$11))))/2,0))/2,0)/16,0)))/2,0),0)))</f>
        <v>73</v>
      </c>
      <c r="Z50" s="260"/>
      <c r="AA50" s="257">
        <f ca="1">IF(OR($H16="",AA$15=""),"",IF($I50="念",VLOOKUP("念じボール",敵技,6,0),IF($I50="叩",VLOOKUP("叩きつける",敵技,6,0),0))+MAX(0,ROUNDDOWN(IF(AA$9="あり",0.5,IF(AA$9="大防御",0.1,1))*ROUNDDOWN((ROUNDDOWN((計算!$I4-ROUNDDOWN((計算!$AG$8+MAX(-(計算!$AG$8),MIN(200,(ROUNDDOWN(計算!$AG$8/2,0)*AA$10+ROUNDDOWN(計算!$AG$8/4,0)*AA$11))))/2,0))/2,0)-(1+ROUNDDOWN(ROUNDDOWN((計算!$I4-ROUNDDOWN((計算!$AG$8+MAX(-(計算!$AG$8),MIN(200,(ROUNDDOWN(計算!$AG$8/2,0)*AA$10+ROUNDDOWN(計算!$AG$8/4,0)*AA$11))))/2,0))/2,0)/16,0)))/2,0),0)))</f>
        <v>59</v>
      </c>
      <c r="AB50" s="258"/>
      <c r="AC50" s="259">
        <f ca="1">IF(OR($H16="",AA$15=""),"",IF($I50="念",VLOOKUP("念じボール",敵技,6,0),IF($I50="叩",VLOOKUP("叩きつける",敵技,6,0),0))+MAX(1,ROUNDDOWN(IF(AA$9="あり",0.5,IF(AA$9="大防御",0.1,1))*ROUNDDOWN((ROUNDDOWN((計算!$I4-ROUNDDOWN((計算!$AG$8+MAX(-(計算!$AG$8),MIN(200,(ROUNDDOWN(計算!$AG$8/2,0)*AA$10+ROUNDDOWN(計算!$AG$8/4,0)*AA$11))))/2,0))/2,0)+(1+ROUNDDOWN(ROUNDDOWN((計算!$I4-ROUNDDOWN((計算!$AG$8+MAX(-(計算!$AG$8),MIN(200,(ROUNDDOWN(計算!$AG$8/2,0)*AA$10+ROUNDDOWN(計算!$AG$8/4,0)*AA$11))))/2,0))/2,0)/16,0)))/2,0),0)))</f>
        <v>67</v>
      </c>
      <c r="AD50" s="260"/>
      <c r="AE50" s="257">
        <f ca="1">IF(OR($H16="",AE$15=""),"",IF($I50="念",VLOOKUP("念じボール",敵技,6,0),IF($I50="叩",VLOOKUP("叩きつける",敵技,6,0),0))+MAX(0,ROUNDDOWN(IF(AE$9="あり",0.5,IF(AE$9="大防御",0.1,1))*ROUNDDOWN((ROUNDDOWN((計算!$I4-ROUNDDOWN((計算!$AG$9+MAX(-(計算!$AG$9),MIN(200,(ROUNDDOWN(計算!$AG$9/2,0)*AE$10+ROUNDDOWN(計算!$AG$9/4,0)*AE$11))))/2,0))/2,0)-(1+ROUNDDOWN(ROUNDDOWN((計算!$I4-ROUNDDOWN((計算!$AG$9+MAX(-(計算!$AG$9),MIN(200,(ROUNDDOWN(計算!$AG$9/2,0)*AE$10+ROUNDDOWN(計算!$AG$9/4,0)*AE$11))))/2,0))/2,0)/16,0)))/2,0),0)))</f>
        <v>54</v>
      </c>
      <c r="AF50" s="258"/>
      <c r="AG50" s="259">
        <f ca="1">IF(OR($H16="",AE$15=""),"",IF($I50="念",VLOOKUP("念じボール",敵技,6,0),IF($I50="叩",VLOOKUP("叩きつける",敵技,6,0),0))+MAX(1,ROUNDDOWN(IF(AE$9="あり",0.5,IF(AE$9="大防御",0.1,1))*ROUNDDOWN((ROUNDDOWN((計算!$I4-ROUNDDOWN((計算!$AG$9+MAX(-(計算!$AG$9),MIN(200,(ROUNDDOWN(計算!$AG$9/2,0)*AE$10+ROUNDDOWN(計算!$AG$9/4,0)*AE$11))))/2,0))/2,0)+(1+ROUNDDOWN(ROUNDDOWN((計算!$I4-ROUNDDOWN((計算!$AG$9+MAX(-(計算!$AG$9),MIN(200,(ROUNDDOWN(計算!$AG$9/2,0)*AE$10+ROUNDDOWN(計算!$AG$9/4,0)*AE$11))))/2,0))/2,0)/16,0)))/2,0),0)))</f>
        <v>62</v>
      </c>
      <c r="AH50" s="260"/>
      <c r="AI50" s="257">
        <f ca="1">IF(OR($H16="",AI$15=""),"",IF($I50="念",VLOOKUP("念じボール",敵技,6,0),IF($I50="叩",VLOOKUP("叩きつける",敵技,6,0),0))+MAX(0,ROUNDDOWN(IF(AI$9="あり",0.5,IF(AI$9="大防御",0.1,1))*ROUNDDOWN((ROUNDDOWN((計算!$I4-ROUNDDOWN((計算!$AG$10+MAX(-(計算!$AG$10),MIN(200,(ROUNDDOWN(計算!$AG$10/2,0)*AI$10+ROUNDDOWN(計算!$AG$10/4,0)*AI$11))))/2,0))/2,0)-(1+ROUNDDOWN(ROUNDDOWN((計算!$I4-ROUNDDOWN((計算!$AG$10+MAX(-(計算!$AG$10),MIN(200,(ROUNDDOWN(計算!$AG$10/2,0)*AI$10+ROUNDDOWN(計算!$AG$10/4,0)*AI$11))))/2,0))/2,0)/16,0)))/2,0),0)))</f>
        <v>44</v>
      </c>
      <c r="AJ50" s="258"/>
      <c r="AK50" s="259">
        <f ca="1">IF(OR($H16="",AI$15=""),"",IF($I50="念",VLOOKUP("念じボール",敵技,6,0),IF($I50="叩",VLOOKUP("叩きつける",敵技,6,0),0))+MAX(1,ROUNDDOWN(IF(AI$9="あり",0.5,IF(AI$9="大防御",0.1,1))*ROUNDDOWN((ROUNDDOWN((計算!$I4-ROUNDDOWN((計算!$AG$10+MAX(-(計算!$AG$10),MIN(200,(ROUNDDOWN(計算!$AG$10/2,0)*AI$10+ROUNDDOWN(計算!$AG$10/4,0)*AI$11))))/2,0))/2,0)+(1+ROUNDDOWN(ROUNDDOWN((計算!$I4-ROUNDDOWN((計算!$AG$10+MAX(-(計算!$AG$10),MIN(200,(ROUNDDOWN(計算!$AG$10/2,0)*AI$10+ROUNDDOWN(計算!$AG$10/4,0)*AI$11))))/2,0))/2,0)/16,0)))/2,0),0)))</f>
        <v>50</v>
      </c>
      <c r="AL50" s="260"/>
      <c r="AM50" s="257">
        <f ca="1">IF(OR($H16="",AM$15=""),"",IF($I50="念",VLOOKUP("念じボール",敵技,6,0),IF($I50="叩",VLOOKUP("叩きつける",敵技,6,0),0))+MAX(0,ROUNDDOWN(IF(AM$9="あり",0.5,IF(AM$9="大防御",0.1,1))*ROUNDDOWN((ROUNDDOWN((計算!$I4-ROUNDDOWN((計算!$AG$11+MAX(-(計算!$AG$11),MIN(200,(ROUNDDOWN(計算!$AG$11/2,0)*AM$10+ROUNDDOWN(計算!$AG$11/4,0)*AM$11))))/2,0))/2,0)-(1+ROUNDDOWN(ROUNDDOWN((計算!$I4-ROUNDDOWN((計算!$AG$11+MAX(-(計算!$AG$11),MIN(200,(ROUNDDOWN(計算!$AG$11/2,0)*AM$10+ROUNDDOWN(計算!$AG$11/4,0)*AM$11))))/2,0))/2,0)/16,0)))/2,0),0)))</f>
        <v>29</v>
      </c>
      <c r="AN50" s="258"/>
      <c r="AO50" s="259">
        <f ca="1">IF(OR($H16="",AM$15=""),"",IF($I50="念",VLOOKUP("念じボール",敵技,6,0),IF($I50="叩",VLOOKUP("叩きつける",敵技,6,0),0))+MAX(1,ROUNDDOWN(IF(AM$9="あり",0.5,IF(AM$9="大防御",0.1,1))*ROUNDDOWN((ROUNDDOWN((計算!$I4-ROUNDDOWN((計算!$AG$11+MAX(-(計算!$AG$11),MIN(200,(ROUNDDOWN(計算!$AG$11/2,0)*AM$10+ROUNDDOWN(計算!$AG$11/4,0)*AM$11))))/2,0))/2,0)+(1+ROUNDDOWN(ROUNDDOWN((計算!$I4-ROUNDDOWN((計算!$AG$11+MAX(-(計算!$AG$11),MIN(200,(ROUNDDOWN(計算!$AG$11/2,0)*AM$10+ROUNDDOWN(計算!$AG$11/4,0)*AM$11))))/2,0))/2,0)/16,0)))/2,0),0)))</f>
        <v>34</v>
      </c>
      <c r="AP50" s="260"/>
      <c r="AT50" s="98" t="str">
        <f ca="1">AT5</f>
        <v>主人公</v>
      </c>
      <c r="AU50" s="108" t="str">
        <f>AU16</f>
        <v>メ</v>
      </c>
      <c r="AV50" s="108" t="str">
        <f>AV16</f>
        <v>中</v>
      </c>
      <c r="AW50" s="290" t="str">
        <f t="shared" ref="AW50:AW57" ca="1" si="104">IF(OR(NOT($AV50="魔"),$AT50="",AW$49=""),"",ROUNDDOWN((AW16*VLOOKUP($AV50,貫通力,2+AW27,0)),0))</f>
        <v/>
      </c>
      <c r="AX50" s="260"/>
      <c r="AY50" s="290" t="str">
        <f t="shared" ref="AY50:AY57" ca="1" si="105">IF(OR(NOT($AV50="魔"),$AT50="",AW$49=""),"",ROUNDDOWN((AY16*VLOOKUP($AV50,貫通力,2+AY27,0)),0))</f>
        <v/>
      </c>
      <c r="AZ50" s="260"/>
      <c r="BA50" s="290" t="str">
        <f t="shared" ref="BA50:BA57" ca="1" si="106">IF(OR(NOT($AV50="魔"),$AT50="",BA$49=""),"",ROUNDDOWN((BA16*VLOOKUP($AV50,貫通力,2+BA27,0)),0))</f>
        <v/>
      </c>
      <c r="BB50" s="260"/>
      <c r="BC50" s="290" t="str">
        <f t="shared" ref="BC50:BC57" ca="1" si="107">IF(OR(NOT($AV50="魔"),$AT50="",BA$49=""),"",ROUNDDOWN((BC16*VLOOKUP($AV50,貫通力,2+BC27,0)),0))</f>
        <v/>
      </c>
      <c r="BD50" s="260"/>
      <c r="BE50" s="290" t="str">
        <f t="shared" ref="BE50:BE57" ca="1" si="108">IF(OR(NOT($AV50="魔"),$AT50="",BE$49=""),"",ROUNDDOWN((BE16*VLOOKUP($AV50,貫通力,2+BE27,0)),0))</f>
        <v/>
      </c>
      <c r="BF50" s="260"/>
      <c r="BG50" s="290" t="str">
        <f t="shared" ref="BG50:BG57" ca="1" si="109">IF(OR(NOT($AV50="魔"),$AT50="",BE$49=""),"",ROUNDDOWN((BG16*VLOOKUP($AV50,貫通力,2+BG27,0)),0))</f>
        <v/>
      </c>
      <c r="BH50" s="260"/>
      <c r="BI50" s="290" t="str">
        <f t="shared" ref="BI50:BI57" ca="1" si="110">IF(OR(NOT($AV50="魔"),$AT50="",BI$49=""),"",ROUNDDOWN((BI16*VLOOKUP($AV50,貫通力,2+BI27,0)),0))</f>
        <v/>
      </c>
      <c r="BJ50" s="260"/>
      <c r="BK50" s="290" t="str">
        <f t="shared" ref="BK50:BK57" ca="1" si="111">IF(OR(NOT($AV50="魔"),$AT50="",BI$49=""),"",ROUNDDOWN((BK16*VLOOKUP($AV50,貫通力,2+BK27,0)),0))</f>
        <v/>
      </c>
      <c r="BL50" s="260"/>
      <c r="BM50" s="290" t="str">
        <f t="shared" ref="BM50:BM57" ca="1" si="112">IF(OR(NOT($AV50="魔"),$AT50="",BM$49=""),"",ROUNDDOWN((BM16*VLOOKUP($AV50,貫通力,2+BM27,0)),0))</f>
        <v/>
      </c>
      <c r="BN50" s="260"/>
      <c r="BO50" s="290" t="str">
        <f t="shared" ref="BO50:BO57" ca="1" si="113">IF(OR(NOT($AV50="魔"),$AT50="",BM$49=""),"",ROUNDDOWN((BO16*VLOOKUP($AV50,貫通力,2+BO27,0)),0))</f>
        <v/>
      </c>
      <c r="BP50" s="260"/>
      <c r="BQ50" s="290" t="str">
        <f t="shared" ref="BQ50:BQ57" ca="1" si="114">IF(OR(NOT($AV50="魔"),$AT50="",BQ$49=""),"",ROUNDDOWN((BQ16*VLOOKUP($AV50,貫通力,2+BQ27,0)),0))</f>
        <v/>
      </c>
      <c r="BR50" s="260"/>
      <c r="BS50" s="290" t="str">
        <f t="shared" ref="BS50:BS57" ca="1" si="115">IF(OR(NOT($AV50="魔"),$AT50="",BQ$49=""),"",ROUNDDOWN((BS16*VLOOKUP($AV50,貫通力,2+BS27,0)),0))</f>
        <v/>
      </c>
      <c r="BT50" s="260"/>
      <c r="BU50" s="290" t="str">
        <f t="shared" ref="BU50:BU57" ca="1" si="116">IF(OR(NOT($AV50="魔"),$AT50="",BU$49=""),"",ROUNDDOWN((BU16*VLOOKUP($AV50,貫通力,2+BU27,0)),0))</f>
        <v/>
      </c>
      <c r="BV50" s="260"/>
      <c r="BW50" s="290" t="str">
        <f t="shared" ref="BW50:BW57" ca="1" si="117">IF(OR(NOT($AV50="魔"),$AT50="",BU$49=""),"",ROUNDDOWN((BW16*VLOOKUP($AV50,貫通力,2+BW27,0)),0))</f>
        <v/>
      </c>
      <c r="BX50" s="260"/>
      <c r="BY50" s="290" t="str">
        <f t="shared" ref="BY50:BY57" ca="1" si="118">IF(OR(NOT($AV50="魔"),$AT50="",BY$49=""),"",ROUNDDOWN((BY16*VLOOKUP($AV50,貫通力,2+BY27,0)),0))</f>
        <v/>
      </c>
      <c r="BZ50" s="260"/>
      <c r="CA50" s="290" t="str">
        <f t="shared" ref="CA50:CA57" ca="1" si="119">IF(OR(NOT($AV50="魔"),$AT50="",BY$49=""),"",ROUNDDOWN((CA16*VLOOKUP($AV50,貫通力,2+CA27,0)),0))</f>
        <v/>
      </c>
      <c r="CB50" s="260"/>
    </row>
    <row r="51" spans="2:80" x14ac:dyDescent="0.15">
      <c r="B51" s="9">
        <f t="shared" ca="1" si="0"/>
        <v>0</v>
      </c>
      <c r="C51" s="9">
        <f t="shared" ca="1" si="1"/>
        <v>0</v>
      </c>
      <c r="D51" s="9">
        <v>363</v>
      </c>
      <c r="H51" s="98" t="str">
        <f t="shared" ref="H51:H57" ca="1" si="120">$H6</f>
        <v>デスタムーア3</v>
      </c>
      <c r="I51" s="108" t="str">
        <f>IF(計算!F37="","",VLOOKUP(計算!F37,敵技,4,0))</f>
        <v>メ</v>
      </c>
      <c r="J51" s="106" t="str">
        <f>IF(計算!F37="","",VLOOKUP(計算!F37,敵技,5,0))</f>
        <v>中</v>
      </c>
      <c r="K51" s="257">
        <f ca="1">IF(OR($H17="",K$15=""),"",IF($I51="念",VLOOKUP("念じボール",敵技,6,0),IF($I51="叩",VLOOKUP("叩きつける",敵技,6,0),0))+MAX(0,ROUNDDOWN(IF(K$9="あり",0.5,IF(K$9="大防御",0.1,1))*ROUNDDOWN((ROUNDDOWN((計算!$I5-ROUNDDOWN((計算!$AG$4+MAX(-(計算!$AG$4),MIN(200,(ROUNDDOWN(計算!$AG$4/2,0)*K$10+ROUNDDOWN(計算!$AG$4/4,0)*K$11))))/2,0))/2,0)-(1+ROUNDDOWN(ROUNDDOWN((計算!$I5-ROUNDDOWN((計算!$AG$4+MAX(-(計算!$AG$4),MIN(200,(ROUNDDOWN(計算!$AG$4/2,0)*K$10+ROUNDDOWN(計算!$AG$4/4,0)*K$11))))/2,0))/2,0)/16,0)))/2,0),0)))</f>
        <v>44</v>
      </c>
      <c r="L51" s="258"/>
      <c r="M51" s="259">
        <f ca="1">IF(OR($H17="",K$15=""),"",IF($I51="念",VLOOKUP("念じボール",敵技,6,0),IF($I51="叩",VLOOKUP("叩きつける",敵技,6,0),0))+MAX(1,ROUNDDOWN(IF(K$9="あり",0.5,IF(K$9="大防御",0.1,1))*ROUNDDOWN((ROUNDDOWN((計算!$I5-ROUNDDOWN((計算!$AG$4+MAX(-(計算!$AG$4),MIN(200,(ROUNDDOWN(計算!$AG$4/2,0)*K$10+ROUNDDOWN(計算!$AG$4/4,0)*K$11))))/2,0))/2,0)+(1+ROUNDDOWN(ROUNDDOWN((計算!$I5-ROUNDDOWN((計算!$AG$4+MAX(-(計算!$AG$4),MIN(200,(ROUNDDOWN(計算!$AG$4/2,0)*K$10+ROUNDDOWN(計算!$AG$4/4,0)*K$11))))/2,0))/2,0)/16,0)))/2,0),0)))</f>
        <v>51</v>
      </c>
      <c r="N51" s="260"/>
      <c r="O51" s="257">
        <f ca="1">IF(OR($H17="",O$15=""),"",IF($I51="念",VLOOKUP("念じボール",敵技,6,0),IF($I51="叩",VLOOKUP("叩きつける",敵技,6,0),0))+MAX(0,ROUNDDOWN(IF(O$9="あり",0.5,IF(O$9="大防御",0.1,1))*ROUNDDOWN((ROUNDDOWN((計算!$I5-ROUNDDOWN((計算!$AG$5+MAX(-(計算!$AG$5),MIN(200,(ROUNDDOWN(計算!$AG$5/2,0)*O$10+ROUNDDOWN(計算!$AG$5/4,0)*O$11))))/2,0))/2,0)-(1+ROUNDDOWN(ROUNDDOWN((計算!$I5-ROUNDDOWN((計算!$AG$5+MAX(-(計算!$AG$5),MIN(200,(ROUNDDOWN(計算!$AG$5/2,0)*O$10+ROUNDDOWN(計算!$AG$5/4,0)*O$11))))/2,0))/2,0)/16,0)))/2,0),0)))</f>
        <v>37</v>
      </c>
      <c r="P51" s="258"/>
      <c r="Q51" s="259">
        <f ca="1">IF(OR($H17="",O$15=""),"",IF($I51="念",VLOOKUP("念じボール",敵技,6,0),IF($I51="叩",VLOOKUP("叩きつける",敵技,6,0),0))+MAX(1,ROUNDDOWN(IF(O$9="あり",0.5,IF(O$9="大防御",0.1,1))*ROUNDDOWN((ROUNDDOWN((計算!$I5-ROUNDDOWN((計算!$AG$5+MAX(-(計算!$AG$5),MIN(200,(ROUNDDOWN(計算!$AG$5/2,0)*O$10+ROUNDDOWN(計算!$AG$5/4,0)*O$11))))/2,0))/2,0)+(1+ROUNDDOWN(ROUNDDOWN((計算!$I5-ROUNDDOWN((計算!$AG$5+MAX(-(計算!$AG$5),MIN(200,(ROUNDDOWN(計算!$AG$5/2,0)*O$10+ROUNDDOWN(計算!$AG$5/4,0)*O$11))))/2,0))/2,0)/16,0)))/2,0),0)))</f>
        <v>43</v>
      </c>
      <c r="R51" s="260"/>
      <c r="S51" s="257">
        <f ca="1">IF(OR($H17="",S$15=""),"",IF($I51="念",VLOOKUP("念じボール",敵技,6,0),IF($I51="叩",VLOOKUP("叩きつける",敵技,6,0),0))+MAX(0,ROUNDDOWN(IF(S$9="あり",0.5,IF(S$9="大防御",0.1,1))*ROUNDDOWN((ROUNDDOWN((計算!$I5-ROUNDDOWN((計算!$AG$6+MAX(-(計算!$AG$6),MIN(200,(ROUNDDOWN(計算!$AG$6/2,0)*S$10+ROUNDDOWN(計算!$AG$6/4,0)*S$11))))/2,0))/2,0)-(1+ROUNDDOWN(ROUNDDOWN((計算!$I5-ROUNDDOWN((計算!$AG$6+MAX(-(計算!$AG$6),MIN(200,(ROUNDDOWN(計算!$AG$6/2,0)*S$10+ROUNDDOWN(計算!$AG$6/4,0)*S$11))))/2,0))/2,0)/16,0)))/2,0),0)))</f>
        <v>57</v>
      </c>
      <c r="T51" s="258"/>
      <c r="U51" s="259">
        <f ca="1">IF(OR($H17="",S$15=""),"",IF($I51="念",VLOOKUP("念じボール",敵技,6,0),IF($I51="叩",VLOOKUP("叩きつける",敵技,6,0),0))+MAX(1,ROUNDDOWN(IF(S$9="あり",0.5,IF(S$9="大防御",0.1,1))*ROUNDDOWN((ROUNDDOWN((計算!$I5-ROUNDDOWN((計算!$AG$6+MAX(-(計算!$AG$6),MIN(200,(ROUNDDOWN(計算!$AG$6/2,0)*S$10+ROUNDDOWN(計算!$AG$6/4,0)*S$11))))/2,0))/2,0)+(1+ROUNDDOWN(ROUNDDOWN((計算!$I5-ROUNDDOWN((計算!$AG$6+MAX(-(計算!$AG$6),MIN(200,(ROUNDDOWN(計算!$AG$6/2,0)*S$10+ROUNDDOWN(計算!$AG$6/4,0)*S$11))))/2,0))/2,0)/16,0)))/2,0),0)))</f>
        <v>65</v>
      </c>
      <c r="V51" s="260"/>
      <c r="W51" s="257">
        <f ca="1">IF(OR($H17="",W$15=""),"",IF($I51="念",VLOOKUP("念じボール",敵技,6,0),IF($I51="叩",VLOOKUP("叩きつける",敵技,6,0),0))+MAX(0,ROUNDDOWN(IF(W$9="あり",0.5,IF(W$9="大防御",0.1,1))*ROUNDDOWN((ROUNDDOWN((計算!$I5-ROUNDDOWN((計算!$AG$7+MAX(-(計算!$AG$7),MIN(200,(ROUNDDOWN(計算!$AG$7/2,0)*W$10+ROUNDDOWN(計算!$AG$7/4,0)*W$11))))/2,0))/2,0)-(1+ROUNDDOWN(ROUNDDOWN((計算!$I5-ROUNDDOWN((計算!$AG$7+MAX(-(計算!$AG$7),MIN(200,(ROUNDDOWN(計算!$AG$7/2,0)*W$10+ROUNDDOWN(計算!$AG$7/4,0)*W$11))))/2,0))/2,0)/16,0)))/2,0),0)))</f>
        <v>64</v>
      </c>
      <c r="X51" s="258"/>
      <c r="Y51" s="259">
        <f ca="1">IF(OR($H17="",W$15=""),"",IF($I51="念",VLOOKUP("念じボール",敵技,6,0),IF($I51="叩",VLOOKUP("叩きつける",敵技,6,0),0))+MAX(1,ROUNDDOWN(IF(W$9="あり",0.5,IF(W$9="大防御",0.1,1))*ROUNDDOWN((ROUNDDOWN((計算!$I5-ROUNDDOWN((計算!$AG$7+MAX(-(計算!$AG$7),MIN(200,(ROUNDDOWN(計算!$AG$7/2,0)*W$10+ROUNDDOWN(計算!$AG$7/4,0)*W$11))))/2,0))/2,0)+(1+ROUNDDOWN(ROUNDDOWN((計算!$I5-ROUNDDOWN((計算!$AG$7+MAX(-(計算!$AG$7),MIN(200,(ROUNDDOWN(計算!$AG$7/2,0)*W$10+ROUNDDOWN(計算!$AG$7/4,0)*W$11))))/2,0))/2,0)/16,0)))/2,0),0)))</f>
        <v>73</v>
      </c>
      <c r="Z51" s="260"/>
      <c r="AA51" s="257">
        <f ca="1">IF(OR($H17="",AA$15=""),"",IF($I51="念",VLOOKUP("念じボール",敵技,6,0),IF($I51="叩",VLOOKUP("叩きつける",敵技,6,0),0))+MAX(0,ROUNDDOWN(IF(AA$9="あり",0.5,IF(AA$9="大防御",0.1,1))*ROUNDDOWN((ROUNDDOWN((計算!$I5-ROUNDDOWN((計算!$AG$8+MAX(-(計算!$AG$8),MIN(200,(ROUNDDOWN(計算!$AG$8/2,0)*AA$10+ROUNDDOWN(計算!$AG$8/4,0)*AA$11))))/2,0))/2,0)-(1+ROUNDDOWN(ROUNDDOWN((計算!$I5-ROUNDDOWN((計算!$AG$8+MAX(-(計算!$AG$8),MIN(200,(ROUNDDOWN(計算!$AG$8/2,0)*AA$10+ROUNDDOWN(計算!$AG$8/4,0)*AA$11))))/2,0))/2,0)/16,0)))/2,0),0)))</f>
        <v>59</v>
      </c>
      <c r="AB51" s="258"/>
      <c r="AC51" s="259">
        <f ca="1">IF(OR($H17="",AA$15=""),"",IF($I51="念",VLOOKUP("念じボール",敵技,6,0),IF($I51="叩",VLOOKUP("叩きつける",敵技,6,0),0))+MAX(1,ROUNDDOWN(IF(AA$9="あり",0.5,IF(AA$9="大防御",0.1,1))*ROUNDDOWN((ROUNDDOWN((計算!$I5-ROUNDDOWN((計算!$AG$8+MAX(-(計算!$AG$8),MIN(200,(ROUNDDOWN(計算!$AG$8/2,0)*AA$10+ROUNDDOWN(計算!$AG$8/4,0)*AA$11))))/2,0))/2,0)+(1+ROUNDDOWN(ROUNDDOWN((計算!$I5-ROUNDDOWN((計算!$AG$8+MAX(-(計算!$AG$8),MIN(200,(ROUNDDOWN(計算!$AG$8/2,0)*AA$10+ROUNDDOWN(計算!$AG$8/4,0)*AA$11))))/2,0))/2,0)/16,0)))/2,0),0)))</f>
        <v>67</v>
      </c>
      <c r="AD51" s="260"/>
      <c r="AE51" s="257">
        <f ca="1">IF(OR($H17="",AE$15=""),"",IF($I51="念",VLOOKUP("念じボール",敵技,6,0),IF($I51="叩",VLOOKUP("叩きつける",敵技,6,0),0))+MAX(0,ROUNDDOWN(IF(AE$9="あり",0.5,IF(AE$9="大防御",0.1,1))*ROUNDDOWN((ROUNDDOWN((計算!$I5-ROUNDDOWN((計算!$AG$9+MAX(-(計算!$AG$9),MIN(200,(ROUNDDOWN(計算!$AG$9/2,0)*AE$10+ROUNDDOWN(計算!$AG$9/4,0)*AE$11))))/2,0))/2,0)-(1+ROUNDDOWN(ROUNDDOWN((計算!$I5-ROUNDDOWN((計算!$AG$9+MAX(-(計算!$AG$9),MIN(200,(ROUNDDOWN(計算!$AG$9/2,0)*AE$10+ROUNDDOWN(計算!$AG$9/4,0)*AE$11))))/2,0))/2,0)/16,0)))/2,0),0)))</f>
        <v>54</v>
      </c>
      <c r="AF51" s="258"/>
      <c r="AG51" s="259">
        <f ca="1">IF(OR($H17="",AE$15=""),"",IF($I51="念",VLOOKUP("念じボール",敵技,6,0),IF($I51="叩",VLOOKUP("叩きつける",敵技,6,0),0))+MAX(1,ROUNDDOWN(IF(AE$9="あり",0.5,IF(AE$9="大防御",0.1,1))*ROUNDDOWN((ROUNDDOWN((計算!$I5-ROUNDDOWN((計算!$AG$9+MAX(-(計算!$AG$9),MIN(200,(ROUNDDOWN(計算!$AG$9/2,0)*AE$10+ROUNDDOWN(計算!$AG$9/4,0)*AE$11))))/2,0))/2,0)+(1+ROUNDDOWN(ROUNDDOWN((計算!$I5-ROUNDDOWN((計算!$AG$9+MAX(-(計算!$AG$9),MIN(200,(ROUNDDOWN(計算!$AG$9/2,0)*AE$10+ROUNDDOWN(計算!$AG$9/4,0)*AE$11))))/2,0))/2,0)/16,0)))/2,0),0)))</f>
        <v>62</v>
      </c>
      <c r="AH51" s="260"/>
      <c r="AI51" s="257">
        <f ca="1">IF(OR($H17="",AI$15=""),"",IF($I51="念",VLOOKUP("念じボール",敵技,6,0),IF($I51="叩",VLOOKUP("叩きつける",敵技,6,0),0))+MAX(0,ROUNDDOWN(IF(AI$9="あり",0.5,IF(AI$9="大防御",0.1,1))*ROUNDDOWN((ROUNDDOWN((計算!$I5-ROUNDDOWN((計算!$AG$10+MAX(-(計算!$AG$10),MIN(200,(ROUNDDOWN(計算!$AG$10/2,0)*AI$10+ROUNDDOWN(計算!$AG$10/4,0)*AI$11))))/2,0))/2,0)-(1+ROUNDDOWN(ROUNDDOWN((計算!$I5-ROUNDDOWN((計算!$AG$10+MAX(-(計算!$AG$10),MIN(200,(ROUNDDOWN(計算!$AG$10/2,0)*AI$10+ROUNDDOWN(計算!$AG$10/4,0)*AI$11))))/2,0))/2,0)/16,0)))/2,0),0)))</f>
        <v>44</v>
      </c>
      <c r="AJ51" s="258"/>
      <c r="AK51" s="259">
        <f ca="1">IF(OR($H17="",AI$15=""),"",IF($I51="念",VLOOKUP("念じボール",敵技,6,0),IF($I51="叩",VLOOKUP("叩きつける",敵技,6,0),0))+MAX(1,ROUNDDOWN(IF(AI$9="あり",0.5,IF(AI$9="大防御",0.1,1))*ROUNDDOWN((ROUNDDOWN((計算!$I5-ROUNDDOWN((計算!$AG$10+MAX(-(計算!$AG$10),MIN(200,(ROUNDDOWN(計算!$AG$10/2,0)*AI$10+ROUNDDOWN(計算!$AG$10/4,0)*AI$11))))/2,0))/2,0)+(1+ROUNDDOWN(ROUNDDOWN((計算!$I5-ROUNDDOWN((計算!$AG$10+MAX(-(計算!$AG$10),MIN(200,(ROUNDDOWN(計算!$AG$10/2,0)*AI$10+ROUNDDOWN(計算!$AG$10/4,0)*AI$11))))/2,0))/2,0)/16,0)))/2,0),0)))</f>
        <v>50</v>
      </c>
      <c r="AL51" s="260"/>
      <c r="AM51" s="257">
        <f ca="1">IF(OR($H17="",AM$15=""),"",IF($I51="念",VLOOKUP("念じボール",敵技,6,0),IF($I51="叩",VLOOKUP("叩きつける",敵技,6,0),0))+MAX(0,ROUNDDOWN(IF(AM$9="あり",0.5,IF(AM$9="大防御",0.1,1))*ROUNDDOWN((ROUNDDOWN((計算!$I5-ROUNDDOWN((計算!$AG$11+MAX(-(計算!$AG$11),MIN(200,(ROUNDDOWN(計算!$AG$11/2,0)*AM$10+ROUNDDOWN(計算!$AG$11/4,0)*AM$11))))/2,0))/2,0)-(1+ROUNDDOWN(ROUNDDOWN((計算!$I5-ROUNDDOWN((計算!$AG$11+MAX(-(計算!$AG$11),MIN(200,(ROUNDDOWN(計算!$AG$11/2,0)*AM$10+ROUNDDOWN(計算!$AG$11/4,0)*AM$11))))/2,0))/2,0)/16,0)))/2,0),0)))</f>
        <v>29</v>
      </c>
      <c r="AN51" s="258"/>
      <c r="AO51" s="259">
        <f ca="1">IF(OR($H17="",AM$15=""),"",IF($I51="念",VLOOKUP("念じボール",敵技,6,0),IF($I51="叩",VLOOKUP("叩きつける",敵技,6,0),0))+MAX(1,ROUNDDOWN(IF(AM$9="あり",0.5,IF(AM$9="大防御",0.1,1))*ROUNDDOWN((ROUNDDOWN((計算!$I5-ROUNDDOWN((計算!$AG$11+MAX(-(計算!$AG$11),MIN(200,(ROUNDDOWN(計算!$AG$11/2,0)*AM$10+ROUNDDOWN(計算!$AG$11/4,0)*AM$11))))/2,0))/2,0)+(1+ROUNDDOWN(ROUNDDOWN((計算!$I5-ROUNDDOWN((計算!$AG$11+MAX(-(計算!$AG$11),MIN(200,(ROUNDDOWN(計算!$AG$11/2,0)*AM$10+ROUNDDOWN(計算!$AG$11/4,0)*AM$11))))/2,0))/2,0)/16,0)))/2,0),0)))</f>
        <v>34</v>
      </c>
      <c r="AP51" s="260"/>
      <c r="AT51" s="98" t="str">
        <f t="shared" ref="AT51:AT57" ca="1" si="121">AT6</f>
        <v>ハッサン</v>
      </c>
      <c r="AU51" s="108" t="str">
        <f t="shared" ref="AU51:AV51" si="122">AU17</f>
        <v>なし</v>
      </c>
      <c r="AV51" s="108" t="str">
        <f t="shared" si="122"/>
        <v>物理</v>
      </c>
      <c r="AW51" s="290" t="str">
        <f t="shared" ca="1" si="104"/>
        <v/>
      </c>
      <c r="AX51" s="260"/>
      <c r="AY51" s="290" t="str">
        <f t="shared" ca="1" si="105"/>
        <v/>
      </c>
      <c r="AZ51" s="260"/>
      <c r="BA51" s="290" t="str">
        <f t="shared" ca="1" si="106"/>
        <v/>
      </c>
      <c r="BB51" s="260"/>
      <c r="BC51" s="290" t="str">
        <f t="shared" ca="1" si="107"/>
        <v/>
      </c>
      <c r="BD51" s="260"/>
      <c r="BE51" s="290" t="str">
        <f t="shared" ca="1" si="108"/>
        <v/>
      </c>
      <c r="BF51" s="260"/>
      <c r="BG51" s="290" t="str">
        <f t="shared" ca="1" si="109"/>
        <v/>
      </c>
      <c r="BH51" s="260"/>
      <c r="BI51" s="290" t="str">
        <f t="shared" ca="1" si="110"/>
        <v/>
      </c>
      <c r="BJ51" s="260"/>
      <c r="BK51" s="290" t="str">
        <f t="shared" ca="1" si="111"/>
        <v/>
      </c>
      <c r="BL51" s="260"/>
      <c r="BM51" s="290" t="str">
        <f t="shared" ca="1" si="112"/>
        <v/>
      </c>
      <c r="BN51" s="260"/>
      <c r="BO51" s="290" t="str">
        <f t="shared" ca="1" si="113"/>
        <v/>
      </c>
      <c r="BP51" s="260"/>
      <c r="BQ51" s="290" t="str">
        <f t="shared" ca="1" si="114"/>
        <v/>
      </c>
      <c r="BR51" s="260"/>
      <c r="BS51" s="290" t="str">
        <f t="shared" ca="1" si="115"/>
        <v/>
      </c>
      <c r="BT51" s="260"/>
      <c r="BU51" s="290" t="str">
        <f t="shared" ca="1" si="116"/>
        <v/>
      </c>
      <c r="BV51" s="260"/>
      <c r="BW51" s="290" t="str">
        <f t="shared" ca="1" si="117"/>
        <v/>
      </c>
      <c r="BX51" s="260"/>
      <c r="BY51" s="290" t="str">
        <f t="shared" ca="1" si="118"/>
        <v/>
      </c>
      <c r="BZ51" s="260"/>
      <c r="CA51" s="290" t="str">
        <f t="shared" ca="1" si="119"/>
        <v/>
      </c>
      <c r="CB51" s="260"/>
    </row>
    <row r="52" spans="2:80" x14ac:dyDescent="0.15">
      <c r="B52" s="9">
        <f t="shared" ca="1" si="0"/>
        <v>0</v>
      </c>
      <c r="C52" s="9">
        <f t="shared" ca="1" si="1"/>
        <v>0</v>
      </c>
      <c r="D52" s="9">
        <v>371</v>
      </c>
      <c r="F52" s="132" t="s">
        <v>735</v>
      </c>
      <c r="H52" s="98" t="str">
        <f t="shared" ca="1" si="120"/>
        <v>デスタムーア3</v>
      </c>
      <c r="I52" s="108" t="str">
        <f>IF(計算!F38="","",VLOOKUP(計算!F38,敵技,4,0))</f>
        <v>雪</v>
      </c>
      <c r="J52" s="106" t="str">
        <f>IF(計算!F38="","",VLOOKUP(計算!F38,敵技,5,0))</f>
        <v>高</v>
      </c>
      <c r="K52" s="257">
        <f ca="1">IF(OR($H18="",K$15=""),"",IF($I52="念",VLOOKUP("念じボール",敵技,6,0),IF($I52="叩",VLOOKUP("叩きつける",敵技,6,0),0))+MAX(0,ROUNDDOWN(IF(K$9="あり",0.5,IF(K$9="大防御",0.1,1))*ROUNDDOWN((ROUNDDOWN((計算!$I6-ROUNDDOWN((計算!$AG$4+MAX(-(計算!$AG$4),MIN(200,(ROUNDDOWN(計算!$AG$4/2,0)*K$10+ROUNDDOWN(計算!$AG$4/4,0)*K$11))))/2,0))/2,0)-(1+ROUNDDOWN(ROUNDDOWN((計算!$I6-ROUNDDOWN((計算!$AG$4+MAX(-(計算!$AG$4),MIN(200,(ROUNDDOWN(計算!$AG$4/2,0)*K$10+ROUNDDOWN(計算!$AG$4/4,0)*K$11))))/2,0))/2,0)/16,0)))/2,0),0)))</f>
        <v>44</v>
      </c>
      <c r="L52" s="258"/>
      <c r="M52" s="259">
        <f ca="1">IF(OR($H18="",K$15=""),"",IF($I52="念",VLOOKUP("念じボール",敵技,6,0),IF($I52="叩",VLOOKUP("叩きつける",敵技,6,0),0))+MAX(1,ROUNDDOWN(IF(K$9="あり",0.5,IF(K$9="大防御",0.1,1))*ROUNDDOWN((ROUNDDOWN((計算!$I6-ROUNDDOWN((計算!$AG$4+MAX(-(計算!$AG$4),MIN(200,(ROUNDDOWN(計算!$AG$4/2,0)*K$10+ROUNDDOWN(計算!$AG$4/4,0)*K$11))))/2,0))/2,0)+(1+ROUNDDOWN(ROUNDDOWN((計算!$I6-ROUNDDOWN((計算!$AG$4+MAX(-(計算!$AG$4),MIN(200,(ROUNDDOWN(計算!$AG$4/2,0)*K$10+ROUNDDOWN(計算!$AG$4/4,0)*K$11))))/2,0))/2,0)/16,0)))/2,0),0)))</f>
        <v>51</v>
      </c>
      <c r="N52" s="260"/>
      <c r="O52" s="257">
        <f ca="1">IF(OR($H18="",O$15=""),"",IF($I52="念",VLOOKUP("念じボール",敵技,6,0),IF($I52="叩",VLOOKUP("叩きつける",敵技,6,0),0))+MAX(0,ROUNDDOWN(IF(O$9="あり",0.5,IF(O$9="大防御",0.1,1))*ROUNDDOWN((ROUNDDOWN((計算!$I6-ROUNDDOWN((計算!$AG$5+MAX(-(計算!$AG$5),MIN(200,(ROUNDDOWN(計算!$AG$5/2,0)*O$10+ROUNDDOWN(計算!$AG$5/4,0)*O$11))))/2,0))/2,0)-(1+ROUNDDOWN(ROUNDDOWN((計算!$I6-ROUNDDOWN((計算!$AG$5+MAX(-(計算!$AG$5),MIN(200,(ROUNDDOWN(計算!$AG$5/2,0)*O$10+ROUNDDOWN(計算!$AG$5/4,0)*O$11))))/2,0))/2,0)/16,0)))/2,0),0)))</f>
        <v>37</v>
      </c>
      <c r="P52" s="258"/>
      <c r="Q52" s="259">
        <f ca="1">IF(OR($H18="",O$15=""),"",IF($I52="念",VLOOKUP("念じボール",敵技,6,0),IF($I52="叩",VLOOKUP("叩きつける",敵技,6,0),0))+MAX(1,ROUNDDOWN(IF(O$9="あり",0.5,IF(O$9="大防御",0.1,1))*ROUNDDOWN((ROUNDDOWN((計算!$I6-ROUNDDOWN((計算!$AG$5+MAX(-(計算!$AG$5),MIN(200,(ROUNDDOWN(計算!$AG$5/2,0)*O$10+ROUNDDOWN(計算!$AG$5/4,0)*O$11))))/2,0))/2,0)+(1+ROUNDDOWN(ROUNDDOWN((計算!$I6-ROUNDDOWN((計算!$AG$5+MAX(-(計算!$AG$5),MIN(200,(ROUNDDOWN(計算!$AG$5/2,0)*O$10+ROUNDDOWN(計算!$AG$5/4,0)*O$11))))/2,0))/2,0)/16,0)))/2,0),0)))</f>
        <v>43</v>
      </c>
      <c r="R52" s="260"/>
      <c r="S52" s="257">
        <f ca="1">IF(OR($H18="",S$15=""),"",IF($I52="念",VLOOKUP("念じボール",敵技,6,0),IF($I52="叩",VLOOKUP("叩きつける",敵技,6,0),0))+MAX(0,ROUNDDOWN(IF(S$9="あり",0.5,IF(S$9="大防御",0.1,1))*ROUNDDOWN((ROUNDDOWN((計算!$I6-ROUNDDOWN((計算!$AG$6+MAX(-(計算!$AG$6),MIN(200,(ROUNDDOWN(計算!$AG$6/2,0)*S$10+ROUNDDOWN(計算!$AG$6/4,0)*S$11))))/2,0))/2,0)-(1+ROUNDDOWN(ROUNDDOWN((計算!$I6-ROUNDDOWN((計算!$AG$6+MAX(-(計算!$AG$6),MIN(200,(ROUNDDOWN(計算!$AG$6/2,0)*S$10+ROUNDDOWN(計算!$AG$6/4,0)*S$11))))/2,0))/2,0)/16,0)))/2,0),0)))</f>
        <v>57</v>
      </c>
      <c r="T52" s="258"/>
      <c r="U52" s="259">
        <f ca="1">IF(OR($H18="",S$15=""),"",IF($I52="念",VLOOKUP("念じボール",敵技,6,0),IF($I52="叩",VLOOKUP("叩きつける",敵技,6,0),0))+MAX(1,ROUNDDOWN(IF(S$9="あり",0.5,IF(S$9="大防御",0.1,1))*ROUNDDOWN((ROUNDDOWN((計算!$I6-ROUNDDOWN((計算!$AG$6+MAX(-(計算!$AG$6),MIN(200,(ROUNDDOWN(計算!$AG$6/2,0)*S$10+ROUNDDOWN(計算!$AG$6/4,0)*S$11))))/2,0))/2,0)+(1+ROUNDDOWN(ROUNDDOWN((計算!$I6-ROUNDDOWN((計算!$AG$6+MAX(-(計算!$AG$6),MIN(200,(ROUNDDOWN(計算!$AG$6/2,0)*S$10+ROUNDDOWN(計算!$AG$6/4,0)*S$11))))/2,0))/2,0)/16,0)))/2,0),0)))</f>
        <v>65</v>
      </c>
      <c r="V52" s="260"/>
      <c r="W52" s="257">
        <f ca="1">IF(OR($H18="",W$15=""),"",IF($I52="念",VLOOKUP("念じボール",敵技,6,0),IF($I52="叩",VLOOKUP("叩きつける",敵技,6,0),0))+MAX(0,ROUNDDOWN(IF(W$9="あり",0.5,IF(W$9="大防御",0.1,1))*ROUNDDOWN((ROUNDDOWN((計算!$I6-ROUNDDOWN((計算!$AG$7+MAX(-(計算!$AG$7),MIN(200,(ROUNDDOWN(計算!$AG$7/2,0)*W$10+ROUNDDOWN(計算!$AG$7/4,0)*W$11))))/2,0))/2,0)-(1+ROUNDDOWN(ROUNDDOWN((計算!$I6-ROUNDDOWN((計算!$AG$7+MAX(-(計算!$AG$7),MIN(200,(ROUNDDOWN(計算!$AG$7/2,0)*W$10+ROUNDDOWN(計算!$AG$7/4,0)*W$11))))/2,0))/2,0)/16,0)))/2,0),0)))</f>
        <v>64</v>
      </c>
      <c r="X52" s="258"/>
      <c r="Y52" s="259">
        <f ca="1">IF(OR($H18="",W$15=""),"",IF($I52="念",VLOOKUP("念じボール",敵技,6,0),IF($I52="叩",VLOOKUP("叩きつける",敵技,6,0),0))+MAX(1,ROUNDDOWN(IF(W$9="あり",0.5,IF(W$9="大防御",0.1,1))*ROUNDDOWN((ROUNDDOWN((計算!$I6-ROUNDDOWN((計算!$AG$7+MAX(-(計算!$AG$7),MIN(200,(ROUNDDOWN(計算!$AG$7/2,0)*W$10+ROUNDDOWN(計算!$AG$7/4,0)*W$11))))/2,0))/2,0)+(1+ROUNDDOWN(ROUNDDOWN((計算!$I6-ROUNDDOWN((計算!$AG$7+MAX(-(計算!$AG$7),MIN(200,(ROUNDDOWN(計算!$AG$7/2,0)*W$10+ROUNDDOWN(計算!$AG$7/4,0)*W$11))))/2,0))/2,0)/16,0)))/2,0),0)))</f>
        <v>73</v>
      </c>
      <c r="Z52" s="260"/>
      <c r="AA52" s="257">
        <f ca="1">IF(OR($H18="",AA$15=""),"",IF($I52="念",VLOOKUP("念じボール",敵技,6,0),IF($I52="叩",VLOOKUP("叩きつける",敵技,6,0),0))+MAX(0,ROUNDDOWN(IF(AA$9="あり",0.5,IF(AA$9="大防御",0.1,1))*ROUNDDOWN((ROUNDDOWN((計算!$I6-ROUNDDOWN((計算!$AG$8+MAX(-(計算!$AG$8),MIN(200,(ROUNDDOWN(計算!$AG$8/2,0)*AA$10+ROUNDDOWN(計算!$AG$8/4,0)*AA$11))))/2,0))/2,0)-(1+ROUNDDOWN(ROUNDDOWN((計算!$I6-ROUNDDOWN((計算!$AG$8+MAX(-(計算!$AG$8),MIN(200,(ROUNDDOWN(計算!$AG$8/2,0)*AA$10+ROUNDDOWN(計算!$AG$8/4,0)*AA$11))))/2,0))/2,0)/16,0)))/2,0),0)))</f>
        <v>59</v>
      </c>
      <c r="AB52" s="258"/>
      <c r="AC52" s="259">
        <f ca="1">IF(OR($H18="",AA$15=""),"",IF($I52="念",VLOOKUP("念じボール",敵技,6,0),IF($I52="叩",VLOOKUP("叩きつける",敵技,6,0),0))+MAX(1,ROUNDDOWN(IF(AA$9="あり",0.5,IF(AA$9="大防御",0.1,1))*ROUNDDOWN((ROUNDDOWN((計算!$I6-ROUNDDOWN((計算!$AG$8+MAX(-(計算!$AG$8),MIN(200,(ROUNDDOWN(計算!$AG$8/2,0)*AA$10+ROUNDDOWN(計算!$AG$8/4,0)*AA$11))))/2,0))/2,0)+(1+ROUNDDOWN(ROUNDDOWN((計算!$I6-ROUNDDOWN((計算!$AG$8+MAX(-(計算!$AG$8),MIN(200,(ROUNDDOWN(計算!$AG$8/2,0)*AA$10+ROUNDDOWN(計算!$AG$8/4,0)*AA$11))))/2,0))/2,0)/16,0)))/2,0),0)))</f>
        <v>67</v>
      </c>
      <c r="AD52" s="260"/>
      <c r="AE52" s="257">
        <f ca="1">IF(OR($H18="",AE$15=""),"",IF($I52="念",VLOOKUP("念じボール",敵技,6,0),IF($I52="叩",VLOOKUP("叩きつける",敵技,6,0),0))+MAX(0,ROUNDDOWN(IF(AE$9="あり",0.5,IF(AE$9="大防御",0.1,1))*ROUNDDOWN((ROUNDDOWN((計算!$I6-ROUNDDOWN((計算!$AG$9+MAX(-(計算!$AG$9),MIN(200,(ROUNDDOWN(計算!$AG$9/2,0)*AE$10+ROUNDDOWN(計算!$AG$9/4,0)*AE$11))))/2,0))/2,0)-(1+ROUNDDOWN(ROUNDDOWN((計算!$I6-ROUNDDOWN((計算!$AG$9+MAX(-(計算!$AG$9),MIN(200,(ROUNDDOWN(計算!$AG$9/2,0)*AE$10+ROUNDDOWN(計算!$AG$9/4,0)*AE$11))))/2,0))/2,0)/16,0)))/2,0),0)))</f>
        <v>54</v>
      </c>
      <c r="AF52" s="258"/>
      <c r="AG52" s="259">
        <f ca="1">IF(OR($H18="",AE$15=""),"",IF($I52="念",VLOOKUP("念じボール",敵技,6,0),IF($I52="叩",VLOOKUP("叩きつける",敵技,6,0),0))+MAX(1,ROUNDDOWN(IF(AE$9="あり",0.5,IF(AE$9="大防御",0.1,1))*ROUNDDOWN((ROUNDDOWN((計算!$I6-ROUNDDOWN((計算!$AG$9+MAX(-(計算!$AG$9),MIN(200,(ROUNDDOWN(計算!$AG$9/2,0)*AE$10+ROUNDDOWN(計算!$AG$9/4,0)*AE$11))))/2,0))/2,0)+(1+ROUNDDOWN(ROUNDDOWN((計算!$I6-ROUNDDOWN((計算!$AG$9+MAX(-(計算!$AG$9),MIN(200,(ROUNDDOWN(計算!$AG$9/2,0)*AE$10+ROUNDDOWN(計算!$AG$9/4,0)*AE$11))))/2,0))/2,0)/16,0)))/2,0),0)))</f>
        <v>62</v>
      </c>
      <c r="AH52" s="260"/>
      <c r="AI52" s="257">
        <f ca="1">IF(OR($H18="",AI$15=""),"",IF($I52="念",VLOOKUP("念じボール",敵技,6,0),IF($I52="叩",VLOOKUP("叩きつける",敵技,6,0),0))+MAX(0,ROUNDDOWN(IF(AI$9="あり",0.5,IF(AI$9="大防御",0.1,1))*ROUNDDOWN((ROUNDDOWN((計算!$I6-ROUNDDOWN((計算!$AG$10+MAX(-(計算!$AG$10),MIN(200,(ROUNDDOWN(計算!$AG$10/2,0)*AI$10+ROUNDDOWN(計算!$AG$10/4,0)*AI$11))))/2,0))/2,0)-(1+ROUNDDOWN(ROUNDDOWN((計算!$I6-ROUNDDOWN((計算!$AG$10+MAX(-(計算!$AG$10),MIN(200,(ROUNDDOWN(計算!$AG$10/2,0)*AI$10+ROUNDDOWN(計算!$AG$10/4,0)*AI$11))))/2,0))/2,0)/16,0)))/2,0),0)))</f>
        <v>44</v>
      </c>
      <c r="AJ52" s="258"/>
      <c r="AK52" s="259">
        <f ca="1">IF(OR($H18="",AI$15=""),"",IF($I52="念",VLOOKUP("念じボール",敵技,6,0),IF($I52="叩",VLOOKUP("叩きつける",敵技,6,0),0))+MAX(1,ROUNDDOWN(IF(AI$9="あり",0.5,IF(AI$9="大防御",0.1,1))*ROUNDDOWN((ROUNDDOWN((計算!$I6-ROUNDDOWN((計算!$AG$10+MAX(-(計算!$AG$10),MIN(200,(ROUNDDOWN(計算!$AG$10/2,0)*AI$10+ROUNDDOWN(計算!$AG$10/4,0)*AI$11))))/2,0))/2,0)+(1+ROUNDDOWN(ROUNDDOWN((計算!$I6-ROUNDDOWN((計算!$AG$10+MAX(-(計算!$AG$10),MIN(200,(ROUNDDOWN(計算!$AG$10/2,0)*AI$10+ROUNDDOWN(計算!$AG$10/4,0)*AI$11))))/2,0))/2,0)/16,0)))/2,0),0)))</f>
        <v>50</v>
      </c>
      <c r="AL52" s="260"/>
      <c r="AM52" s="257">
        <f ca="1">IF(OR($H18="",AM$15=""),"",IF($I52="念",VLOOKUP("念じボール",敵技,6,0),IF($I52="叩",VLOOKUP("叩きつける",敵技,6,0),0))+MAX(0,ROUNDDOWN(IF(AM$9="あり",0.5,IF(AM$9="大防御",0.1,1))*ROUNDDOWN((ROUNDDOWN((計算!$I6-ROUNDDOWN((計算!$AG$11+MAX(-(計算!$AG$11),MIN(200,(ROUNDDOWN(計算!$AG$11/2,0)*AM$10+ROUNDDOWN(計算!$AG$11/4,0)*AM$11))))/2,0))/2,0)-(1+ROUNDDOWN(ROUNDDOWN((計算!$I6-ROUNDDOWN((計算!$AG$11+MAX(-(計算!$AG$11),MIN(200,(ROUNDDOWN(計算!$AG$11/2,0)*AM$10+ROUNDDOWN(計算!$AG$11/4,0)*AM$11))))/2,0))/2,0)/16,0)))/2,0),0)))</f>
        <v>29</v>
      </c>
      <c r="AN52" s="258"/>
      <c r="AO52" s="259">
        <f ca="1">IF(OR($H18="",AM$15=""),"",IF($I52="念",VLOOKUP("念じボール",敵技,6,0),IF($I52="叩",VLOOKUP("叩きつける",敵技,6,0),0))+MAX(1,ROUNDDOWN(IF(AM$9="あり",0.5,IF(AM$9="大防御",0.1,1))*ROUNDDOWN((ROUNDDOWN((計算!$I6-ROUNDDOWN((計算!$AG$11+MAX(-(計算!$AG$11),MIN(200,(ROUNDDOWN(計算!$AG$11/2,0)*AM$10+ROUNDDOWN(計算!$AG$11/4,0)*AM$11))))/2,0))/2,0)+(1+ROUNDDOWN(ROUNDDOWN((計算!$I6-ROUNDDOWN((計算!$AG$11+MAX(-(計算!$AG$11),MIN(200,(ROUNDDOWN(計算!$AG$11/2,0)*AM$10+ROUNDDOWN(計算!$AG$11/4,0)*AM$11))))/2,0))/2,0)/16,0)))/2,0),0)))</f>
        <v>34</v>
      </c>
      <c r="AP52" s="260"/>
      <c r="AT52" s="98" t="str">
        <f t="shared" ca="1" si="121"/>
        <v>ミレーユ</v>
      </c>
      <c r="AU52" s="108" t="str">
        <f t="shared" ref="AU52:AV52" si="123">AU18</f>
        <v/>
      </c>
      <c r="AV52" s="108" t="str">
        <f t="shared" si="123"/>
        <v/>
      </c>
      <c r="AW52" s="290" t="str">
        <f t="shared" ca="1" si="104"/>
        <v/>
      </c>
      <c r="AX52" s="260"/>
      <c r="AY52" s="290" t="str">
        <f t="shared" ca="1" si="105"/>
        <v/>
      </c>
      <c r="AZ52" s="260"/>
      <c r="BA52" s="290" t="str">
        <f t="shared" ca="1" si="106"/>
        <v/>
      </c>
      <c r="BB52" s="260"/>
      <c r="BC52" s="290" t="str">
        <f t="shared" ca="1" si="107"/>
        <v/>
      </c>
      <c r="BD52" s="260"/>
      <c r="BE52" s="290" t="str">
        <f t="shared" ca="1" si="108"/>
        <v/>
      </c>
      <c r="BF52" s="260"/>
      <c r="BG52" s="290" t="str">
        <f t="shared" ca="1" si="109"/>
        <v/>
      </c>
      <c r="BH52" s="260"/>
      <c r="BI52" s="290" t="str">
        <f t="shared" ca="1" si="110"/>
        <v/>
      </c>
      <c r="BJ52" s="260"/>
      <c r="BK52" s="290" t="str">
        <f t="shared" ca="1" si="111"/>
        <v/>
      </c>
      <c r="BL52" s="260"/>
      <c r="BM52" s="290" t="str">
        <f t="shared" ca="1" si="112"/>
        <v/>
      </c>
      <c r="BN52" s="260"/>
      <c r="BO52" s="290" t="str">
        <f t="shared" ca="1" si="113"/>
        <v/>
      </c>
      <c r="BP52" s="260"/>
      <c r="BQ52" s="290" t="str">
        <f t="shared" ca="1" si="114"/>
        <v/>
      </c>
      <c r="BR52" s="260"/>
      <c r="BS52" s="290" t="str">
        <f t="shared" ca="1" si="115"/>
        <v/>
      </c>
      <c r="BT52" s="260"/>
      <c r="BU52" s="290" t="str">
        <f t="shared" ca="1" si="116"/>
        <v/>
      </c>
      <c r="BV52" s="260"/>
      <c r="BW52" s="290" t="str">
        <f t="shared" ca="1" si="117"/>
        <v/>
      </c>
      <c r="BX52" s="260"/>
      <c r="BY52" s="290" t="str">
        <f t="shared" ca="1" si="118"/>
        <v/>
      </c>
      <c r="BZ52" s="260"/>
      <c r="CA52" s="290" t="str">
        <f t="shared" ca="1" si="119"/>
        <v/>
      </c>
      <c r="CB52" s="260"/>
    </row>
    <row r="53" spans="2:80" x14ac:dyDescent="0.15">
      <c r="B53" s="9">
        <f t="shared" ca="1" si="0"/>
        <v>0</v>
      </c>
      <c r="C53" s="9">
        <f t="shared" ca="1" si="1"/>
        <v>0</v>
      </c>
      <c r="D53" s="9">
        <v>379</v>
      </c>
      <c r="F53" s="8" t="s">
        <v>737</v>
      </c>
      <c r="H53" s="98" t="str">
        <f t="shared" ca="1" si="120"/>
        <v>デスタムーア3</v>
      </c>
      <c r="I53" s="108" t="str">
        <f>IF(計算!F39="","",VLOOKUP(計算!F39,敵技,4,0))</f>
        <v>イ</v>
      </c>
      <c r="J53" s="106" t="str">
        <f>IF(計算!F39="","",VLOOKUP(計算!F39,敵技,5,0))</f>
        <v>中</v>
      </c>
      <c r="K53" s="257">
        <f ca="1">IF(OR($H19="",K$15=""),"",IF($I53="念",VLOOKUP("念じボール",敵技,6,0),IF($I53="叩",VLOOKUP("叩きつける",敵技,6,0),0))+MAX(0,ROUNDDOWN(IF(K$9="あり",0.5,IF(K$9="大防御",0.1,1))*ROUNDDOWN((ROUNDDOWN((計算!$I7-ROUNDDOWN((計算!$AG$4+MAX(-(計算!$AG$4),MIN(200,(ROUNDDOWN(計算!$AG$4/2,0)*K$10+ROUNDDOWN(計算!$AG$4/4,0)*K$11))))/2,0))/2,0)-(1+ROUNDDOWN(ROUNDDOWN((計算!$I7-ROUNDDOWN((計算!$AG$4+MAX(-(計算!$AG$4),MIN(200,(ROUNDDOWN(計算!$AG$4/2,0)*K$10+ROUNDDOWN(計算!$AG$4/4,0)*K$11))))/2,0))/2,0)/16,0)))/2,0),0)))</f>
        <v>44</v>
      </c>
      <c r="L53" s="258"/>
      <c r="M53" s="259">
        <f ca="1">IF(OR($H19="",K$15=""),"",IF($I53="念",VLOOKUP("念じボール",敵技,6,0),IF($I53="叩",VLOOKUP("叩きつける",敵技,6,0),0))+MAX(1,ROUNDDOWN(IF(K$9="あり",0.5,IF(K$9="大防御",0.1,1))*ROUNDDOWN((ROUNDDOWN((計算!$I7-ROUNDDOWN((計算!$AG$4+MAX(-(計算!$AG$4),MIN(200,(ROUNDDOWN(計算!$AG$4/2,0)*K$10+ROUNDDOWN(計算!$AG$4/4,0)*K$11))))/2,0))/2,0)+(1+ROUNDDOWN(ROUNDDOWN((計算!$I7-ROUNDDOWN((計算!$AG$4+MAX(-(計算!$AG$4),MIN(200,(ROUNDDOWN(計算!$AG$4/2,0)*K$10+ROUNDDOWN(計算!$AG$4/4,0)*K$11))))/2,0))/2,0)/16,0)))/2,0),0)))</f>
        <v>51</v>
      </c>
      <c r="N53" s="260"/>
      <c r="O53" s="257">
        <f ca="1">IF(OR($H19="",O$15=""),"",IF($I53="念",VLOOKUP("念じボール",敵技,6,0),IF($I53="叩",VLOOKUP("叩きつける",敵技,6,0),0))+MAX(0,ROUNDDOWN(IF(O$9="あり",0.5,IF(O$9="大防御",0.1,1))*ROUNDDOWN((ROUNDDOWN((計算!$I7-ROUNDDOWN((計算!$AG$5+MAX(-(計算!$AG$5),MIN(200,(ROUNDDOWN(計算!$AG$5/2,0)*O$10+ROUNDDOWN(計算!$AG$5/4,0)*O$11))))/2,0))/2,0)-(1+ROUNDDOWN(ROUNDDOWN((計算!$I7-ROUNDDOWN((計算!$AG$5+MAX(-(計算!$AG$5),MIN(200,(ROUNDDOWN(計算!$AG$5/2,0)*O$10+ROUNDDOWN(計算!$AG$5/4,0)*O$11))))/2,0))/2,0)/16,0)))/2,0),0)))</f>
        <v>37</v>
      </c>
      <c r="P53" s="258"/>
      <c r="Q53" s="259">
        <f ca="1">IF(OR($H19="",O$15=""),"",IF($I53="念",VLOOKUP("念じボール",敵技,6,0),IF($I53="叩",VLOOKUP("叩きつける",敵技,6,0),0))+MAX(1,ROUNDDOWN(IF(O$9="あり",0.5,IF(O$9="大防御",0.1,1))*ROUNDDOWN((ROUNDDOWN((計算!$I7-ROUNDDOWN((計算!$AG$5+MAX(-(計算!$AG$5),MIN(200,(ROUNDDOWN(計算!$AG$5/2,0)*O$10+ROUNDDOWN(計算!$AG$5/4,0)*O$11))))/2,0))/2,0)+(1+ROUNDDOWN(ROUNDDOWN((計算!$I7-ROUNDDOWN((計算!$AG$5+MAX(-(計算!$AG$5),MIN(200,(ROUNDDOWN(計算!$AG$5/2,0)*O$10+ROUNDDOWN(計算!$AG$5/4,0)*O$11))))/2,0))/2,0)/16,0)))/2,0),0)))</f>
        <v>43</v>
      </c>
      <c r="R53" s="260"/>
      <c r="S53" s="257">
        <f ca="1">IF(OR($H19="",S$15=""),"",IF($I53="念",VLOOKUP("念じボール",敵技,6,0),IF($I53="叩",VLOOKUP("叩きつける",敵技,6,0),0))+MAX(0,ROUNDDOWN(IF(S$9="あり",0.5,IF(S$9="大防御",0.1,1))*ROUNDDOWN((ROUNDDOWN((計算!$I7-ROUNDDOWN((計算!$AG$6+MAX(-(計算!$AG$6),MIN(200,(ROUNDDOWN(計算!$AG$6/2,0)*S$10+ROUNDDOWN(計算!$AG$6/4,0)*S$11))))/2,0))/2,0)-(1+ROUNDDOWN(ROUNDDOWN((計算!$I7-ROUNDDOWN((計算!$AG$6+MAX(-(計算!$AG$6),MIN(200,(ROUNDDOWN(計算!$AG$6/2,0)*S$10+ROUNDDOWN(計算!$AG$6/4,0)*S$11))))/2,0))/2,0)/16,0)))/2,0),0)))</f>
        <v>57</v>
      </c>
      <c r="T53" s="258"/>
      <c r="U53" s="259">
        <f ca="1">IF(OR($H19="",S$15=""),"",IF($I53="念",VLOOKUP("念じボール",敵技,6,0),IF($I53="叩",VLOOKUP("叩きつける",敵技,6,0),0))+MAX(1,ROUNDDOWN(IF(S$9="あり",0.5,IF(S$9="大防御",0.1,1))*ROUNDDOWN((ROUNDDOWN((計算!$I7-ROUNDDOWN((計算!$AG$6+MAX(-(計算!$AG$6),MIN(200,(ROUNDDOWN(計算!$AG$6/2,0)*S$10+ROUNDDOWN(計算!$AG$6/4,0)*S$11))))/2,0))/2,0)+(1+ROUNDDOWN(ROUNDDOWN((計算!$I7-ROUNDDOWN((計算!$AG$6+MAX(-(計算!$AG$6),MIN(200,(ROUNDDOWN(計算!$AG$6/2,0)*S$10+ROUNDDOWN(計算!$AG$6/4,0)*S$11))))/2,0))/2,0)/16,0)))/2,0),0)))</f>
        <v>65</v>
      </c>
      <c r="V53" s="260"/>
      <c r="W53" s="257">
        <f ca="1">IF(OR($H19="",W$15=""),"",IF($I53="念",VLOOKUP("念じボール",敵技,6,0),IF($I53="叩",VLOOKUP("叩きつける",敵技,6,0),0))+MAX(0,ROUNDDOWN(IF(W$9="あり",0.5,IF(W$9="大防御",0.1,1))*ROUNDDOWN((ROUNDDOWN((計算!$I7-ROUNDDOWN((計算!$AG$7+MAX(-(計算!$AG$7),MIN(200,(ROUNDDOWN(計算!$AG$7/2,0)*W$10+ROUNDDOWN(計算!$AG$7/4,0)*W$11))))/2,0))/2,0)-(1+ROUNDDOWN(ROUNDDOWN((計算!$I7-ROUNDDOWN((計算!$AG$7+MAX(-(計算!$AG$7),MIN(200,(ROUNDDOWN(計算!$AG$7/2,0)*W$10+ROUNDDOWN(計算!$AG$7/4,0)*W$11))))/2,0))/2,0)/16,0)))/2,0),0)))</f>
        <v>64</v>
      </c>
      <c r="X53" s="258"/>
      <c r="Y53" s="259">
        <f ca="1">IF(OR($H19="",W$15=""),"",IF($I53="念",VLOOKUP("念じボール",敵技,6,0),IF($I53="叩",VLOOKUP("叩きつける",敵技,6,0),0))+MAX(1,ROUNDDOWN(IF(W$9="あり",0.5,IF(W$9="大防御",0.1,1))*ROUNDDOWN((ROUNDDOWN((計算!$I7-ROUNDDOWN((計算!$AG$7+MAX(-(計算!$AG$7),MIN(200,(ROUNDDOWN(計算!$AG$7/2,0)*W$10+ROUNDDOWN(計算!$AG$7/4,0)*W$11))))/2,0))/2,0)+(1+ROUNDDOWN(ROUNDDOWN((計算!$I7-ROUNDDOWN((計算!$AG$7+MAX(-(計算!$AG$7),MIN(200,(ROUNDDOWN(計算!$AG$7/2,0)*W$10+ROUNDDOWN(計算!$AG$7/4,0)*W$11))))/2,0))/2,0)/16,0)))/2,0),0)))</f>
        <v>73</v>
      </c>
      <c r="Z53" s="260"/>
      <c r="AA53" s="257">
        <f ca="1">IF(OR($H19="",AA$15=""),"",IF($I53="念",VLOOKUP("念じボール",敵技,6,0),IF($I53="叩",VLOOKUP("叩きつける",敵技,6,0),0))+MAX(0,ROUNDDOWN(IF(AA$9="あり",0.5,IF(AA$9="大防御",0.1,1))*ROUNDDOWN((ROUNDDOWN((計算!$I7-ROUNDDOWN((計算!$AG$8+MAX(-(計算!$AG$8),MIN(200,(ROUNDDOWN(計算!$AG$8/2,0)*AA$10+ROUNDDOWN(計算!$AG$8/4,0)*AA$11))))/2,0))/2,0)-(1+ROUNDDOWN(ROUNDDOWN((計算!$I7-ROUNDDOWN((計算!$AG$8+MAX(-(計算!$AG$8),MIN(200,(ROUNDDOWN(計算!$AG$8/2,0)*AA$10+ROUNDDOWN(計算!$AG$8/4,0)*AA$11))))/2,0))/2,0)/16,0)))/2,0),0)))</f>
        <v>59</v>
      </c>
      <c r="AB53" s="258"/>
      <c r="AC53" s="259">
        <f ca="1">IF(OR($H19="",AA$15=""),"",IF($I53="念",VLOOKUP("念じボール",敵技,6,0),IF($I53="叩",VLOOKUP("叩きつける",敵技,6,0),0))+MAX(1,ROUNDDOWN(IF(AA$9="あり",0.5,IF(AA$9="大防御",0.1,1))*ROUNDDOWN((ROUNDDOWN((計算!$I7-ROUNDDOWN((計算!$AG$8+MAX(-(計算!$AG$8),MIN(200,(ROUNDDOWN(計算!$AG$8/2,0)*AA$10+ROUNDDOWN(計算!$AG$8/4,0)*AA$11))))/2,0))/2,0)+(1+ROUNDDOWN(ROUNDDOWN((計算!$I7-ROUNDDOWN((計算!$AG$8+MAX(-(計算!$AG$8),MIN(200,(ROUNDDOWN(計算!$AG$8/2,0)*AA$10+ROUNDDOWN(計算!$AG$8/4,0)*AA$11))))/2,0))/2,0)/16,0)))/2,0),0)))</f>
        <v>67</v>
      </c>
      <c r="AD53" s="260"/>
      <c r="AE53" s="257">
        <f ca="1">IF(OR($H19="",AE$15=""),"",IF($I53="念",VLOOKUP("念じボール",敵技,6,0),IF($I53="叩",VLOOKUP("叩きつける",敵技,6,0),0))+MAX(0,ROUNDDOWN(IF(AE$9="あり",0.5,IF(AE$9="大防御",0.1,1))*ROUNDDOWN((ROUNDDOWN((計算!$I7-ROUNDDOWN((計算!$AG$9+MAX(-(計算!$AG$9),MIN(200,(ROUNDDOWN(計算!$AG$9/2,0)*AE$10+ROUNDDOWN(計算!$AG$9/4,0)*AE$11))))/2,0))/2,0)-(1+ROUNDDOWN(ROUNDDOWN((計算!$I7-ROUNDDOWN((計算!$AG$9+MAX(-(計算!$AG$9),MIN(200,(ROUNDDOWN(計算!$AG$9/2,0)*AE$10+ROUNDDOWN(計算!$AG$9/4,0)*AE$11))))/2,0))/2,0)/16,0)))/2,0),0)))</f>
        <v>54</v>
      </c>
      <c r="AF53" s="258"/>
      <c r="AG53" s="259">
        <f ca="1">IF(OR($H19="",AE$15=""),"",IF($I53="念",VLOOKUP("念じボール",敵技,6,0),IF($I53="叩",VLOOKUP("叩きつける",敵技,6,0),0))+MAX(1,ROUNDDOWN(IF(AE$9="あり",0.5,IF(AE$9="大防御",0.1,1))*ROUNDDOWN((ROUNDDOWN((計算!$I7-ROUNDDOWN((計算!$AG$9+MAX(-(計算!$AG$9),MIN(200,(ROUNDDOWN(計算!$AG$9/2,0)*AE$10+ROUNDDOWN(計算!$AG$9/4,0)*AE$11))))/2,0))/2,0)+(1+ROUNDDOWN(ROUNDDOWN((計算!$I7-ROUNDDOWN((計算!$AG$9+MAX(-(計算!$AG$9),MIN(200,(ROUNDDOWN(計算!$AG$9/2,0)*AE$10+ROUNDDOWN(計算!$AG$9/4,0)*AE$11))))/2,0))/2,0)/16,0)))/2,0),0)))</f>
        <v>62</v>
      </c>
      <c r="AH53" s="260"/>
      <c r="AI53" s="257">
        <f ca="1">IF(OR($H19="",AI$15=""),"",IF($I53="念",VLOOKUP("念じボール",敵技,6,0),IF($I53="叩",VLOOKUP("叩きつける",敵技,6,0),0))+MAX(0,ROUNDDOWN(IF(AI$9="あり",0.5,IF(AI$9="大防御",0.1,1))*ROUNDDOWN((ROUNDDOWN((計算!$I7-ROUNDDOWN((計算!$AG$10+MAX(-(計算!$AG$10),MIN(200,(ROUNDDOWN(計算!$AG$10/2,0)*AI$10+ROUNDDOWN(計算!$AG$10/4,0)*AI$11))))/2,0))/2,0)-(1+ROUNDDOWN(ROUNDDOWN((計算!$I7-ROUNDDOWN((計算!$AG$10+MAX(-(計算!$AG$10),MIN(200,(ROUNDDOWN(計算!$AG$10/2,0)*AI$10+ROUNDDOWN(計算!$AG$10/4,0)*AI$11))))/2,0))/2,0)/16,0)))/2,0),0)))</f>
        <v>44</v>
      </c>
      <c r="AJ53" s="258"/>
      <c r="AK53" s="259">
        <f ca="1">IF(OR($H19="",AI$15=""),"",IF($I53="念",VLOOKUP("念じボール",敵技,6,0),IF($I53="叩",VLOOKUP("叩きつける",敵技,6,0),0))+MAX(1,ROUNDDOWN(IF(AI$9="あり",0.5,IF(AI$9="大防御",0.1,1))*ROUNDDOWN((ROUNDDOWN((計算!$I7-ROUNDDOWN((計算!$AG$10+MAX(-(計算!$AG$10),MIN(200,(ROUNDDOWN(計算!$AG$10/2,0)*AI$10+ROUNDDOWN(計算!$AG$10/4,0)*AI$11))))/2,0))/2,0)+(1+ROUNDDOWN(ROUNDDOWN((計算!$I7-ROUNDDOWN((計算!$AG$10+MAX(-(計算!$AG$10),MIN(200,(ROUNDDOWN(計算!$AG$10/2,0)*AI$10+ROUNDDOWN(計算!$AG$10/4,0)*AI$11))))/2,0))/2,0)/16,0)))/2,0),0)))</f>
        <v>50</v>
      </c>
      <c r="AL53" s="260"/>
      <c r="AM53" s="257">
        <f ca="1">IF(OR($H19="",AM$15=""),"",IF($I53="念",VLOOKUP("念じボール",敵技,6,0),IF($I53="叩",VLOOKUP("叩きつける",敵技,6,0),0))+MAX(0,ROUNDDOWN(IF(AM$9="あり",0.5,IF(AM$9="大防御",0.1,1))*ROUNDDOWN((ROUNDDOWN((計算!$I7-ROUNDDOWN((計算!$AG$11+MAX(-(計算!$AG$11),MIN(200,(ROUNDDOWN(計算!$AG$11/2,0)*AM$10+ROUNDDOWN(計算!$AG$11/4,0)*AM$11))))/2,0))/2,0)-(1+ROUNDDOWN(ROUNDDOWN((計算!$I7-ROUNDDOWN((計算!$AG$11+MAX(-(計算!$AG$11),MIN(200,(ROUNDDOWN(計算!$AG$11/2,0)*AM$10+ROUNDDOWN(計算!$AG$11/4,0)*AM$11))))/2,0))/2,0)/16,0)))/2,0),0)))</f>
        <v>29</v>
      </c>
      <c r="AN53" s="258"/>
      <c r="AO53" s="259">
        <f ca="1">IF(OR($H19="",AM$15=""),"",IF($I53="念",VLOOKUP("念じボール",敵技,6,0),IF($I53="叩",VLOOKUP("叩きつける",敵技,6,0),0))+MAX(1,ROUNDDOWN(IF(AM$9="あり",0.5,IF(AM$9="大防御",0.1,1))*ROUNDDOWN((ROUNDDOWN((計算!$I7-ROUNDDOWN((計算!$AG$11+MAX(-(計算!$AG$11),MIN(200,(ROUNDDOWN(計算!$AG$11/2,0)*AM$10+ROUNDDOWN(計算!$AG$11/4,0)*AM$11))))/2,0))/2,0)+(1+ROUNDDOWN(ROUNDDOWN((計算!$I7-ROUNDDOWN((計算!$AG$11+MAX(-(計算!$AG$11),MIN(200,(ROUNDDOWN(計算!$AG$11/2,0)*AM$10+ROUNDDOWN(計算!$AG$11/4,0)*AM$11))))/2,0))/2,0)/16,0)))/2,0),0)))</f>
        <v>34</v>
      </c>
      <c r="AP53" s="260"/>
      <c r="AT53" s="98" t="str">
        <f t="shared" ca="1" si="121"/>
        <v>バーバラ</v>
      </c>
      <c r="AU53" s="108" t="str">
        <f t="shared" ref="AU53:AV53" si="124">AU19</f>
        <v/>
      </c>
      <c r="AV53" s="108" t="str">
        <f t="shared" si="124"/>
        <v/>
      </c>
      <c r="AW53" s="290" t="str">
        <f t="shared" ca="1" si="104"/>
        <v/>
      </c>
      <c r="AX53" s="260"/>
      <c r="AY53" s="290" t="str">
        <f t="shared" ca="1" si="105"/>
        <v/>
      </c>
      <c r="AZ53" s="260"/>
      <c r="BA53" s="290" t="str">
        <f t="shared" ca="1" si="106"/>
        <v/>
      </c>
      <c r="BB53" s="260"/>
      <c r="BC53" s="290" t="str">
        <f t="shared" ca="1" si="107"/>
        <v/>
      </c>
      <c r="BD53" s="260"/>
      <c r="BE53" s="290" t="str">
        <f t="shared" ca="1" si="108"/>
        <v/>
      </c>
      <c r="BF53" s="260"/>
      <c r="BG53" s="290" t="str">
        <f t="shared" ca="1" si="109"/>
        <v/>
      </c>
      <c r="BH53" s="260"/>
      <c r="BI53" s="290" t="str">
        <f t="shared" ca="1" si="110"/>
        <v/>
      </c>
      <c r="BJ53" s="260"/>
      <c r="BK53" s="290" t="str">
        <f t="shared" ca="1" si="111"/>
        <v/>
      </c>
      <c r="BL53" s="260"/>
      <c r="BM53" s="290" t="str">
        <f t="shared" ca="1" si="112"/>
        <v/>
      </c>
      <c r="BN53" s="260"/>
      <c r="BO53" s="290" t="str">
        <f t="shared" ca="1" si="113"/>
        <v/>
      </c>
      <c r="BP53" s="260"/>
      <c r="BQ53" s="290" t="str">
        <f t="shared" ca="1" si="114"/>
        <v/>
      </c>
      <c r="BR53" s="260"/>
      <c r="BS53" s="290" t="str">
        <f t="shared" ca="1" si="115"/>
        <v/>
      </c>
      <c r="BT53" s="260"/>
      <c r="BU53" s="290" t="str">
        <f t="shared" ca="1" si="116"/>
        <v/>
      </c>
      <c r="BV53" s="260"/>
      <c r="BW53" s="290" t="str">
        <f t="shared" ca="1" si="117"/>
        <v/>
      </c>
      <c r="BX53" s="260"/>
      <c r="BY53" s="290" t="str">
        <f t="shared" ca="1" si="118"/>
        <v/>
      </c>
      <c r="BZ53" s="260"/>
      <c r="CA53" s="290" t="str">
        <f t="shared" ca="1" si="119"/>
        <v/>
      </c>
      <c r="CB53" s="260"/>
    </row>
    <row r="54" spans="2:80" x14ac:dyDescent="0.15">
      <c r="B54" s="9">
        <f t="shared" ca="1" si="0"/>
        <v>0</v>
      </c>
      <c r="C54" s="9">
        <f t="shared" ca="1" si="1"/>
        <v>0</v>
      </c>
      <c r="D54" s="9">
        <v>387</v>
      </c>
      <c r="F54" s="10"/>
      <c r="H54" s="98" t="str">
        <f t="shared" ca="1" si="120"/>
        <v>デスタムーア3</v>
      </c>
      <c r="I54" s="108" t="str">
        <f>IF(計算!F40="","",VLOOKUP(計算!F40,敵技,4,0))</f>
        <v>炎</v>
      </c>
      <c r="J54" s="106" t="str">
        <f>IF(計算!F40="","",VLOOKUP(計算!F40,敵技,5,0))</f>
        <v>高</v>
      </c>
      <c r="K54" s="257">
        <f ca="1">IF(OR($H20="",K$15=""),"",IF($I54="念",VLOOKUP("念じボール",敵技,6,0),IF($I54="叩",VLOOKUP("叩きつける",敵技,6,0),0))+MAX(0,ROUNDDOWN(IF(K$9="あり",0.5,IF(K$9="大防御",0.1,1))*ROUNDDOWN((ROUNDDOWN((計算!$I8-ROUNDDOWN((計算!$AG$4+MAX(-(計算!$AG$4),MIN(200,(ROUNDDOWN(計算!$AG$4/2,0)*K$10+ROUNDDOWN(計算!$AG$4/4,0)*K$11))))/2,0))/2,0)-(1+ROUNDDOWN(ROUNDDOWN((計算!$I8-ROUNDDOWN((計算!$AG$4+MAX(-(計算!$AG$4),MIN(200,(ROUNDDOWN(計算!$AG$4/2,0)*K$10+ROUNDDOWN(計算!$AG$4/4,0)*K$11))))/2,0))/2,0)/16,0)))/2,0),0)))</f>
        <v>44</v>
      </c>
      <c r="L54" s="258"/>
      <c r="M54" s="259">
        <f ca="1">IF(OR($H20="",K$15=""),"",IF($I54="念",VLOOKUP("念じボール",敵技,6,0),IF($I54="叩",VLOOKUP("叩きつける",敵技,6,0),0))+MAX(1,ROUNDDOWN(IF(K$9="あり",0.5,IF(K$9="大防御",0.1,1))*ROUNDDOWN((ROUNDDOWN((計算!$I8-ROUNDDOWN((計算!$AG$4+MAX(-(計算!$AG$4),MIN(200,(ROUNDDOWN(計算!$AG$4/2,0)*K$10+ROUNDDOWN(計算!$AG$4/4,0)*K$11))))/2,0))/2,0)+(1+ROUNDDOWN(ROUNDDOWN((計算!$I8-ROUNDDOWN((計算!$AG$4+MAX(-(計算!$AG$4),MIN(200,(ROUNDDOWN(計算!$AG$4/2,0)*K$10+ROUNDDOWN(計算!$AG$4/4,0)*K$11))))/2,0))/2,0)/16,0)))/2,0),0)))</f>
        <v>51</v>
      </c>
      <c r="N54" s="260"/>
      <c r="O54" s="257">
        <f ca="1">IF(OR($H20="",O$15=""),"",IF($I54="念",VLOOKUP("念じボール",敵技,6,0),IF($I54="叩",VLOOKUP("叩きつける",敵技,6,0),0))+MAX(0,ROUNDDOWN(IF(O$9="あり",0.5,IF(O$9="大防御",0.1,1))*ROUNDDOWN((ROUNDDOWN((計算!$I8-ROUNDDOWN((計算!$AG$5+MAX(-(計算!$AG$5),MIN(200,(ROUNDDOWN(計算!$AG$5/2,0)*O$10+ROUNDDOWN(計算!$AG$5/4,0)*O$11))))/2,0))/2,0)-(1+ROUNDDOWN(ROUNDDOWN((計算!$I8-ROUNDDOWN((計算!$AG$5+MAX(-(計算!$AG$5),MIN(200,(ROUNDDOWN(計算!$AG$5/2,0)*O$10+ROUNDDOWN(計算!$AG$5/4,0)*O$11))))/2,0))/2,0)/16,0)))/2,0),0)))</f>
        <v>37</v>
      </c>
      <c r="P54" s="258"/>
      <c r="Q54" s="259">
        <f ca="1">IF(OR($H20="",O$15=""),"",IF($I54="念",VLOOKUP("念じボール",敵技,6,0),IF($I54="叩",VLOOKUP("叩きつける",敵技,6,0),0))+MAX(1,ROUNDDOWN(IF(O$9="あり",0.5,IF(O$9="大防御",0.1,1))*ROUNDDOWN((ROUNDDOWN((計算!$I8-ROUNDDOWN((計算!$AG$5+MAX(-(計算!$AG$5),MIN(200,(ROUNDDOWN(計算!$AG$5/2,0)*O$10+ROUNDDOWN(計算!$AG$5/4,0)*O$11))))/2,0))/2,0)+(1+ROUNDDOWN(ROUNDDOWN((計算!$I8-ROUNDDOWN((計算!$AG$5+MAX(-(計算!$AG$5),MIN(200,(ROUNDDOWN(計算!$AG$5/2,0)*O$10+ROUNDDOWN(計算!$AG$5/4,0)*O$11))))/2,0))/2,0)/16,0)))/2,0),0)))</f>
        <v>43</v>
      </c>
      <c r="R54" s="260"/>
      <c r="S54" s="257">
        <f ca="1">IF(OR($H20="",S$15=""),"",IF($I54="念",VLOOKUP("念じボール",敵技,6,0),IF($I54="叩",VLOOKUP("叩きつける",敵技,6,0),0))+MAX(0,ROUNDDOWN(IF(S$9="あり",0.5,IF(S$9="大防御",0.1,1))*ROUNDDOWN((ROUNDDOWN((計算!$I8-ROUNDDOWN((計算!$AG$6+MAX(-(計算!$AG$6),MIN(200,(ROUNDDOWN(計算!$AG$6/2,0)*S$10+ROUNDDOWN(計算!$AG$6/4,0)*S$11))))/2,0))/2,0)-(1+ROUNDDOWN(ROUNDDOWN((計算!$I8-ROUNDDOWN((計算!$AG$6+MAX(-(計算!$AG$6),MIN(200,(ROUNDDOWN(計算!$AG$6/2,0)*S$10+ROUNDDOWN(計算!$AG$6/4,0)*S$11))))/2,0))/2,0)/16,0)))/2,0),0)))</f>
        <v>57</v>
      </c>
      <c r="T54" s="258"/>
      <c r="U54" s="259">
        <f ca="1">IF(OR($H20="",S$15=""),"",IF($I54="念",VLOOKUP("念じボール",敵技,6,0),IF($I54="叩",VLOOKUP("叩きつける",敵技,6,0),0))+MAX(1,ROUNDDOWN(IF(S$9="あり",0.5,IF(S$9="大防御",0.1,1))*ROUNDDOWN((ROUNDDOWN((計算!$I8-ROUNDDOWN((計算!$AG$6+MAX(-(計算!$AG$6),MIN(200,(ROUNDDOWN(計算!$AG$6/2,0)*S$10+ROUNDDOWN(計算!$AG$6/4,0)*S$11))))/2,0))/2,0)+(1+ROUNDDOWN(ROUNDDOWN((計算!$I8-ROUNDDOWN((計算!$AG$6+MAX(-(計算!$AG$6),MIN(200,(ROUNDDOWN(計算!$AG$6/2,0)*S$10+ROUNDDOWN(計算!$AG$6/4,0)*S$11))))/2,0))/2,0)/16,0)))/2,0),0)))</f>
        <v>65</v>
      </c>
      <c r="V54" s="260"/>
      <c r="W54" s="257">
        <f ca="1">IF(OR($H20="",W$15=""),"",IF($I54="念",VLOOKUP("念じボール",敵技,6,0),IF($I54="叩",VLOOKUP("叩きつける",敵技,6,0),0))+MAX(0,ROUNDDOWN(IF(W$9="あり",0.5,IF(W$9="大防御",0.1,1))*ROUNDDOWN((ROUNDDOWN((計算!$I8-ROUNDDOWN((計算!$AG$7+MAX(-(計算!$AG$7),MIN(200,(ROUNDDOWN(計算!$AG$7/2,0)*W$10+ROUNDDOWN(計算!$AG$7/4,0)*W$11))))/2,0))/2,0)-(1+ROUNDDOWN(ROUNDDOWN((計算!$I8-ROUNDDOWN((計算!$AG$7+MAX(-(計算!$AG$7),MIN(200,(ROUNDDOWN(計算!$AG$7/2,0)*W$10+ROUNDDOWN(計算!$AG$7/4,0)*W$11))))/2,0))/2,0)/16,0)))/2,0),0)))</f>
        <v>64</v>
      </c>
      <c r="X54" s="258"/>
      <c r="Y54" s="259">
        <f ca="1">IF(OR($H20="",W$15=""),"",IF($I54="念",VLOOKUP("念じボール",敵技,6,0),IF($I54="叩",VLOOKUP("叩きつける",敵技,6,0),0))+MAX(1,ROUNDDOWN(IF(W$9="あり",0.5,IF(W$9="大防御",0.1,1))*ROUNDDOWN((ROUNDDOWN((計算!$I8-ROUNDDOWN((計算!$AG$7+MAX(-(計算!$AG$7),MIN(200,(ROUNDDOWN(計算!$AG$7/2,0)*W$10+ROUNDDOWN(計算!$AG$7/4,0)*W$11))))/2,0))/2,0)+(1+ROUNDDOWN(ROUNDDOWN((計算!$I8-ROUNDDOWN((計算!$AG$7+MAX(-(計算!$AG$7),MIN(200,(ROUNDDOWN(計算!$AG$7/2,0)*W$10+ROUNDDOWN(計算!$AG$7/4,0)*W$11))))/2,0))/2,0)/16,0)))/2,0),0)))</f>
        <v>73</v>
      </c>
      <c r="Z54" s="260"/>
      <c r="AA54" s="257">
        <f ca="1">IF(OR($H20="",AA$15=""),"",IF($I54="念",VLOOKUP("念じボール",敵技,6,0),IF($I54="叩",VLOOKUP("叩きつける",敵技,6,0),0))+MAX(0,ROUNDDOWN(IF(AA$9="あり",0.5,IF(AA$9="大防御",0.1,1))*ROUNDDOWN((ROUNDDOWN((計算!$I8-ROUNDDOWN((計算!$AG$8+MAX(-(計算!$AG$8),MIN(200,(ROUNDDOWN(計算!$AG$8/2,0)*AA$10+ROUNDDOWN(計算!$AG$8/4,0)*AA$11))))/2,0))/2,0)-(1+ROUNDDOWN(ROUNDDOWN((計算!$I8-ROUNDDOWN((計算!$AG$8+MAX(-(計算!$AG$8),MIN(200,(ROUNDDOWN(計算!$AG$8/2,0)*AA$10+ROUNDDOWN(計算!$AG$8/4,0)*AA$11))))/2,0))/2,0)/16,0)))/2,0),0)))</f>
        <v>59</v>
      </c>
      <c r="AB54" s="258"/>
      <c r="AC54" s="259">
        <f ca="1">IF(OR($H20="",AA$15=""),"",IF($I54="念",VLOOKUP("念じボール",敵技,6,0),IF($I54="叩",VLOOKUP("叩きつける",敵技,6,0),0))+MAX(1,ROUNDDOWN(IF(AA$9="あり",0.5,IF(AA$9="大防御",0.1,1))*ROUNDDOWN((ROUNDDOWN((計算!$I8-ROUNDDOWN((計算!$AG$8+MAX(-(計算!$AG$8),MIN(200,(ROUNDDOWN(計算!$AG$8/2,0)*AA$10+ROUNDDOWN(計算!$AG$8/4,0)*AA$11))))/2,0))/2,0)+(1+ROUNDDOWN(ROUNDDOWN((計算!$I8-ROUNDDOWN((計算!$AG$8+MAX(-(計算!$AG$8),MIN(200,(ROUNDDOWN(計算!$AG$8/2,0)*AA$10+ROUNDDOWN(計算!$AG$8/4,0)*AA$11))))/2,0))/2,0)/16,0)))/2,0),0)))</f>
        <v>67</v>
      </c>
      <c r="AD54" s="260"/>
      <c r="AE54" s="257">
        <f ca="1">IF(OR($H20="",AE$15=""),"",IF($I54="念",VLOOKUP("念じボール",敵技,6,0),IF($I54="叩",VLOOKUP("叩きつける",敵技,6,0),0))+MAX(0,ROUNDDOWN(IF(AE$9="あり",0.5,IF(AE$9="大防御",0.1,1))*ROUNDDOWN((ROUNDDOWN((計算!$I8-ROUNDDOWN((計算!$AG$9+MAX(-(計算!$AG$9),MIN(200,(ROUNDDOWN(計算!$AG$9/2,0)*AE$10+ROUNDDOWN(計算!$AG$9/4,0)*AE$11))))/2,0))/2,0)-(1+ROUNDDOWN(ROUNDDOWN((計算!$I8-ROUNDDOWN((計算!$AG$9+MAX(-(計算!$AG$9),MIN(200,(ROUNDDOWN(計算!$AG$9/2,0)*AE$10+ROUNDDOWN(計算!$AG$9/4,0)*AE$11))))/2,0))/2,0)/16,0)))/2,0),0)))</f>
        <v>54</v>
      </c>
      <c r="AF54" s="258"/>
      <c r="AG54" s="259">
        <f ca="1">IF(OR($H20="",AE$15=""),"",IF($I54="念",VLOOKUP("念じボール",敵技,6,0),IF($I54="叩",VLOOKUP("叩きつける",敵技,6,0),0))+MAX(1,ROUNDDOWN(IF(AE$9="あり",0.5,IF(AE$9="大防御",0.1,1))*ROUNDDOWN((ROUNDDOWN((計算!$I8-ROUNDDOWN((計算!$AG$9+MAX(-(計算!$AG$9),MIN(200,(ROUNDDOWN(計算!$AG$9/2,0)*AE$10+ROUNDDOWN(計算!$AG$9/4,0)*AE$11))))/2,0))/2,0)+(1+ROUNDDOWN(ROUNDDOWN((計算!$I8-ROUNDDOWN((計算!$AG$9+MAX(-(計算!$AG$9),MIN(200,(ROUNDDOWN(計算!$AG$9/2,0)*AE$10+ROUNDDOWN(計算!$AG$9/4,0)*AE$11))))/2,0))/2,0)/16,0)))/2,0),0)))</f>
        <v>62</v>
      </c>
      <c r="AH54" s="260"/>
      <c r="AI54" s="257">
        <f ca="1">IF(OR($H20="",AI$15=""),"",IF($I54="念",VLOOKUP("念じボール",敵技,6,0),IF($I54="叩",VLOOKUP("叩きつける",敵技,6,0),0))+MAX(0,ROUNDDOWN(IF(AI$9="あり",0.5,IF(AI$9="大防御",0.1,1))*ROUNDDOWN((ROUNDDOWN((計算!$I8-ROUNDDOWN((計算!$AG$10+MAX(-(計算!$AG$10),MIN(200,(ROUNDDOWN(計算!$AG$10/2,0)*AI$10+ROUNDDOWN(計算!$AG$10/4,0)*AI$11))))/2,0))/2,0)-(1+ROUNDDOWN(ROUNDDOWN((計算!$I8-ROUNDDOWN((計算!$AG$10+MAX(-(計算!$AG$10),MIN(200,(ROUNDDOWN(計算!$AG$10/2,0)*AI$10+ROUNDDOWN(計算!$AG$10/4,0)*AI$11))))/2,0))/2,0)/16,0)))/2,0),0)))</f>
        <v>44</v>
      </c>
      <c r="AJ54" s="258"/>
      <c r="AK54" s="259">
        <f ca="1">IF(OR($H20="",AI$15=""),"",IF($I54="念",VLOOKUP("念じボール",敵技,6,0),IF($I54="叩",VLOOKUP("叩きつける",敵技,6,0),0))+MAX(1,ROUNDDOWN(IF(AI$9="あり",0.5,IF(AI$9="大防御",0.1,1))*ROUNDDOWN((ROUNDDOWN((計算!$I8-ROUNDDOWN((計算!$AG$10+MAX(-(計算!$AG$10),MIN(200,(ROUNDDOWN(計算!$AG$10/2,0)*AI$10+ROUNDDOWN(計算!$AG$10/4,0)*AI$11))))/2,0))/2,0)+(1+ROUNDDOWN(ROUNDDOWN((計算!$I8-ROUNDDOWN((計算!$AG$10+MAX(-(計算!$AG$10),MIN(200,(ROUNDDOWN(計算!$AG$10/2,0)*AI$10+ROUNDDOWN(計算!$AG$10/4,0)*AI$11))))/2,0))/2,0)/16,0)))/2,0),0)))</f>
        <v>50</v>
      </c>
      <c r="AL54" s="260"/>
      <c r="AM54" s="257">
        <f ca="1">IF(OR($H20="",AM$15=""),"",IF($I54="念",VLOOKUP("念じボール",敵技,6,0),IF($I54="叩",VLOOKUP("叩きつける",敵技,6,0),0))+MAX(0,ROUNDDOWN(IF(AM$9="あり",0.5,IF(AM$9="大防御",0.1,1))*ROUNDDOWN((ROUNDDOWN((計算!$I8-ROUNDDOWN((計算!$AG$11+MAX(-(計算!$AG$11),MIN(200,(ROUNDDOWN(計算!$AG$11/2,0)*AM$10+ROUNDDOWN(計算!$AG$11/4,0)*AM$11))))/2,0))/2,0)-(1+ROUNDDOWN(ROUNDDOWN((計算!$I8-ROUNDDOWN((計算!$AG$11+MAX(-(計算!$AG$11),MIN(200,(ROUNDDOWN(計算!$AG$11/2,0)*AM$10+ROUNDDOWN(計算!$AG$11/4,0)*AM$11))))/2,0))/2,0)/16,0)))/2,0),0)))</f>
        <v>29</v>
      </c>
      <c r="AN54" s="258"/>
      <c r="AO54" s="259">
        <f ca="1">IF(OR($H20="",AM$15=""),"",IF($I54="念",VLOOKUP("念じボール",敵技,6,0),IF($I54="叩",VLOOKUP("叩きつける",敵技,6,0),0))+MAX(1,ROUNDDOWN(IF(AM$9="あり",0.5,IF(AM$9="大防御",0.1,1))*ROUNDDOWN((ROUNDDOWN((計算!$I8-ROUNDDOWN((計算!$AG$11+MAX(-(計算!$AG$11),MIN(200,(ROUNDDOWN(計算!$AG$11/2,0)*AM$10+ROUNDDOWN(計算!$AG$11/4,0)*AM$11))))/2,0))/2,0)+(1+ROUNDDOWN(ROUNDDOWN((計算!$I8-ROUNDDOWN((計算!$AG$11+MAX(-(計算!$AG$11),MIN(200,(ROUNDDOWN(計算!$AG$11/2,0)*AM$10+ROUNDDOWN(計算!$AG$11/4,0)*AM$11))))/2,0))/2,0)/16,0)))/2,0),0)))</f>
        <v>34</v>
      </c>
      <c r="AP54" s="260"/>
      <c r="AT54" s="98" t="str">
        <f t="shared" ca="1" si="121"/>
        <v>チャモロ</v>
      </c>
      <c r="AU54" s="108" t="str">
        <f t="shared" ref="AU54:AV54" si="125">AU20</f>
        <v/>
      </c>
      <c r="AV54" s="108" t="str">
        <f t="shared" si="125"/>
        <v/>
      </c>
      <c r="AW54" s="290" t="str">
        <f t="shared" ca="1" si="104"/>
        <v/>
      </c>
      <c r="AX54" s="260"/>
      <c r="AY54" s="290" t="str">
        <f t="shared" ca="1" si="105"/>
        <v/>
      </c>
      <c r="AZ54" s="260"/>
      <c r="BA54" s="290" t="str">
        <f t="shared" ca="1" si="106"/>
        <v/>
      </c>
      <c r="BB54" s="260"/>
      <c r="BC54" s="290" t="str">
        <f t="shared" ca="1" si="107"/>
        <v/>
      </c>
      <c r="BD54" s="260"/>
      <c r="BE54" s="290" t="str">
        <f t="shared" ca="1" si="108"/>
        <v/>
      </c>
      <c r="BF54" s="260"/>
      <c r="BG54" s="290" t="str">
        <f t="shared" ca="1" si="109"/>
        <v/>
      </c>
      <c r="BH54" s="260"/>
      <c r="BI54" s="290" t="str">
        <f t="shared" ca="1" si="110"/>
        <v/>
      </c>
      <c r="BJ54" s="260"/>
      <c r="BK54" s="290" t="str">
        <f t="shared" ca="1" si="111"/>
        <v/>
      </c>
      <c r="BL54" s="260"/>
      <c r="BM54" s="290" t="str">
        <f t="shared" ca="1" si="112"/>
        <v/>
      </c>
      <c r="BN54" s="260"/>
      <c r="BO54" s="290" t="str">
        <f t="shared" ca="1" si="113"/>
        <v/>
      </c>
      <c r="BP54" s="260"/>
      <c r="BQ54" s="290" t="str">
        <f t="shared" ca="1" si="114"/>
        <v/>
      </c>
      <c r="BR54" s="260"/>
      <c r="BS54" s="290" t="str">
        <f t="shared" ca="1" si="115"/>
        <v/>
      </c>
      <c r="BT54" s="260"/>
      <c r="BU54" s="290" t="str">
        <f t="shared" ca="1" si="116"/>
        <v/>
      </c>
      <c r="BV54" s="260"/>
      <c r="BW54" s="290" t="str">
        <f t="shared" ca="1" si="117"/>
        <v/>
      </c>
      <c r="BX54" s="260"/>
      <c r="BY54" s="290" t="str">
        <f t="shared" ca="1" si="118"/>
        <v/>
      </c>
      <c r="BZ54" s="260"/>
      <c r="CA54" s="290" t="str">
        <f t="shared" ca="1" si="119"/>
        <v/>
      </c>
      <c r="CB54" s="260"/>
    </row>
    <row r="55" spans="2:80" x14ac:dyDescent="0.15">
      <c r="B55" s="9">
        <f t="shared" ca="1" si="0"/>
        <v>0</v>
      </c>
      <c r="C55" s="9">
        <f t="shared" ca="1" si="1"/>
        <v>0</v>
      </c>
      <c r="D55" s="9">
        <v>395</v>
      </c>
      <c r="H55" s="98" t="str">
        <f t="shared" ca="1" si="120"/>
        <v>ひだりて</v>
      </c>
      <c r="I55" s="108" t="str">
        <f>IF(計算!F41="","",VLOOKUP(計算!F41,敵技,4,0))</f>
        <v>叩</v>
      </c>
      <c r="J55" s="106" t="str">
        <f>IF(計算!F41="","",VLOOKUP(計算!F41,敵技,5,0))</f>
        <v>物理</v>
      </c>
      <c r="K55" s="257">
        <f ca="1">IF(OR($H21="",K$15=""),"",IF($I55="念",VLOOKUP("念じボール",敵技,6,0),IF($I55="叩",VLOOKUP("叩きつける",敵技,6,0),0))+MAX(0,ROUNDDOWN(IF(K$9="あり",0.5,IF(K$9="大防御",0.1,1))*ROUNDDOWN((ROUNDDOWN((計算!$I9-ROUNDDOWN((計算!$AG$4+MAX(-(計算!$AG$4),MIN(200,(ROUNDDOWN(計算!$AG$4/2,0)*K$10+ROUNDDOWN(計算!$AG$4/4,0)*K$11))))/2,0))/2,0)-(1+ROUNDDOWN(ROUNDDOWN((計算!$I9-ROUNDDOWN((計算!$AG$4+MAX(-(計算!$AG$4),MIN(200,(ROUNDDOWN(計算!$AG$4/2,0)*K$10+ROUNDDOWN(計算!$AG$4/4,0)*K$11))))/2,0))/2,0)/16,0)))/2,0),0)))</f>
        <v>137</v>
      </c>
      <c r="L55" s="258"/>
      <c r="M55" s="259">
        <f ca="1">IF(OR($H21="",K$15=""),"",IF($I55="念",VLOOKUP("念じボール",敵技,6,0),IF($I55="叩",VLOOKUP("叩きつける",敵技,6,0),0))+MAX(1,ROUNDDOWN(IF(K$9="あり",0.5,IF(K$9="大防御",0.1,1))*ROUNDDOWN((ROUNDDOWN((計算!$I9-ROUNDDOWN((計算!$AG$4+MAX(-(計算!$AG$4),MIN(200,(ROUNDDOWN(計算!$AG$4/2,0)*K$10+ROUNDDOWN(計算!$AG$4/4,0)*K$11))))/2,0))/2,0)+(1+ROUNDDOWN(ROUNDDOWN((計算!$I9-ROUNDDOWN((計算!$AG$4+MAX(-(計算!$AG$4),MIN(200,(ROUNDDOWN(計算!$AG$4/2,0)*K$10+ROUNDDOWN(計算!$AG$4/4,0)*K$11))))/2,0))/2,0)/16,0)))/2,0),0)))</f>
        <v>143</v>
      </c>
      <c r="N55" s="260"/>
      <c r="O55" s="257">
        <f ca="1">IF(OR($H21="",O$15=""),"",IF($I55="念",VLOOKUP("念じボール",敵技,6,0),IF($I55="叩",VLOOKUP("叩きつける",敵技,6,0),0))+MAX(0,ROUNDDOWN(IF(O$9="あり",0.5,IF(O$9="大防御",0.1,1))*ROUNDDOWN((ROUNDDOWN((計算!$I9-ROUNDDOWN((計算!$AG$5+MAX(-(計算!$AG$5),MIN(200,(ROUNDDOWN(計算!$AG$5/2,0)*O$10+ROUNDDOWN(計算!$AG$5/4,0)*O$11))))/2,0))/2,0)-(1+ROUNDDOWN(ROUNDDOWN((計算!$I9-ROUNDDOWN((計算!$AG$5+MAX(-(計算!$AG$5),MIN(200,(ROUNDDOWN(計算!$AG$5/2,0)*O$10+ROUNDDOWN(計算!$AG$5/4,0)*O$11))))/2,0))/2,0)/16,0)))/2,0),0)))</f>
        <v>130</v>
      </c>
      <c r="P55" s="258"/>
      <c r="Q55" s="259">
        <f ca="1">IF(OR($H21="",O$15=""),"",IF($I55="念",VLOOKUP("念じボール",敵技,6,0),IF($I55="叩",VLOOKUP("叩きつける",敵技,6,0),0))+MAX(1,ROUNDDOWN(IF(O$9="あり",0.5,IF(O$9="大防御",0.1,1))*ROUNDDOWN((ROUNDDOWN((計算!$I9-ROUNDDOWN((計算!$AG$5+MAX(-(計算!$AG$5),MIN(200,(ROUNDDOWN(計算!$AG$5/2,0)*O$10+ROUNDDOWN(計算!$AG$5/4,0)*O$11))))/2,0))/2,0)+(1+ROUNDDOWN(ROUNDDOWN((計算!$I9-ROUNDDOWN((計算!$AG$5+MAX(-(計算!$AG$5),MIN(200,(ROUNDDOWN(計算!$AG$5/2,0)*O$10+ROUNDDOWN(計算!$AG$5/4,0)*O$11))))/2,0))/2,0)/16,0)))/2,0),0)))</f>
        <v>135</v>
      </c>
      <c r="R55" s="260"/>
      <c r="S55" s="257">
        <f ca="1">IF(OR($H21="",S$15=""),"",IF($I55="念",VLOOKUP("念じボール",敵技,6,0),IF($I55="叩",VLOOKUP("叩きつける",敵技,6,0),0))+MAX(0,ROUNDDOWN(IF(S$9="あり",0.5,IF(S$9="大防御",0.1,1))*ROUNDDOWN((ROUNDDOWN((計算!$I9-ROUNDDOWN((計算!$AG$6+MAX(-(計算!$AG$6),MIN(200,(ROUNDDOWN(計算!$AG$6/2,0)*S$10+ROUNDDOWN(計算!$AG$6/4,0)*S$11))))/2,0))/2,0)-(1+ROUNDDOWN(ROUNDDOWN((計算!$I9-ROUNDDOWN((計算!$AG$6+MAX(-(計算!$AG$6),MIN(200,(ROUNDDOWN(計算!$AG$6/2,0)*S$10+ROUNDDOWN(計算!$AG$6/4,0)*S$11))))/2,0))/2,0)/16,0)))/2,0),0)))</f>
        <v>150</v>
      </c>
      <c r="T55" s="258"/>
      <c r="U55" s="259">
        <f ca="1">IF(OR($H21="",S$15=""),"",IF($I55="念",VLOOKUP("念じボール",敵技,6,0),IF($I55="叩",VLOOKUP("叩きつける",敵技,6,0),0))+MAX(1,ROUNDDOWN(IF(S$9="あり",0.5,IF(S$9="大防御",0.1,1))*ROUNDDOWN((ROUNDDOWN((計算!$I9-ROUNDDOWN((計算!$AG$6+MAX(-(計算!$AG$6),MIN(200,(ROUNDDOWN(計算!$AG$6/2,0)*S$10+ROUNDDOWN(計算!$AG$6/4,0)*S$11))))/2,0))/2,0)+(1+ROUNDDOWN(ROUNDDOWN((計算!$I9-ROUNDDOWN((計算!$AG$6+MAX(-(計算!$AG$6),MIN(200,(ROUNDDOWN(計算!$AG$6/2,0)*S$10+ROUNDDOWN(計算!$AG$6/4,0)*S$11))))/2,0))/2,0)/16,0)))/2,0),0)))</f>
        <v>157</v>
      </c>
      <c r="V55" s="260"/>
      <c r="W55" s="257">
        <f ca="1">IF(OR($H21="",W$15=""),"",IF($I55="念",VLOOKUP("念じボール",敵技,6,0),IF($I55="叩",VLOOKUP("叩きつける",敵技,6,0),0))+MAX(0,ROUNDDOWN(IF(W$9="あり",0.5,IF(W$9="大防御",0.1,1))*ROUNDDOWN((ROUNDDOWN((計算!$I9-ROUNDDOWN((計算!$AG$7+MAX(-(計算!$AG$7),MIN(200,(ROUNDDOWN(計算!$AG$7/2,0)*W$10+ROUNDDOWN(計算!$AG$7/4,0)*W$11))))/2,0))/2,0)-(1+ROUNDDOWN(ROUNDDOWN((計算!$I9-ROUNDDOWN((計算!$AG$7+MAX(-(計算!$AG$7),MIN(200,(ROUNDDOWN(計算!$AG$7/2,0)*W$10+ROUNDDOWN(計算!$AG$7/4,0)*W$11))))/2,0))/2,0)/16,0)))/2,0),0)))</f>
        <v>157</v>
      </c>
      <c r="X55" s="258"/>
      <c r="Y55" s="259">
        <f ca="1">IF(OR($H21="",W$15=""),"",IF($I55="念",VLOOKUP("念じボール",敵技,6,0),IF($I55="叩",VLOOKUP("叩きつける",敵技,6,0),0))+MAX(1,ROUNDDOWN(IF(W$9="あり",0.5,IF(W$9="大防御",0.1,1))*ROUNDDOWN((ROUNDDOWN((計算!$I9-ROUNDDOWN((計算!$AG$7+MAX(-(計算!$AG$7),MIN(200,(ROUNDDOWN(計算!$AG$7/2,0)*W$10+ROUNDDOWN(計算!$AG$7/4,0)*W$11))))/2,0))/2,0)+(1+ROUNDDOWN(ROUNDDOWN((計算!$I9-ROUNDDOWN((計算!$AG$7+MAX(-(計算!$AG$7),MIN(200,(ROUNDDOWN(計算!$AG$7/2,0)*W$10+ROUNDDOWN(計算!$AG$7/4,0)*W$11))))/2,0))/2,0)/16,0)))/2,0),0)))</f>
        <v>165</v>
      </c>
      <c r="Z55" s="260"/>
      <c r="AA55" s="257">
        <f ca="1">IF(OR($H21="",AA$15=""),"",IF($I55="念",VLOOKUP("念じボール",敵技,6,0),IF($I55="叩",VLOOKUP("叩きつける",敵技,6,0),0))+MAX(0,ROUNDDOWN(IF(AA$9="あり",0.5,IF(AA$9="大防御",0.1,1))*ROUNDDOWN((ROUNDDOWN((計算!$I9-ROUNDDOWN((計算!$AG$8+MAX(-(計算!$AG$8),MIN(200,(ROUNDDOWN(計算!$AG$8/2,0)*AA$10+ROUNDDOWN(計算!$AG$8/4,0)*AA$11))))/2,0))/2,0)-(1+ROUNDDOWN(ROUNDDOWN((計算!$I9-ROUNDDOWN((計算!$AG$8+MAX(-(計算!$AG$8),MIN(200,(ROUNDDOWN(計算!$AG$8/2,0)*AA$10+ROUNDDOWN(計算!$AG$8/4,0)*AA$11))))/2,0))/2,0)/16,0)))/2,0),0)))</f>
        <v>152</v>
      </c>
      <c r="AB55" s="258"/>
      <c r="AC55" s="259">
        <f ca="1">IF(OR($H21="",AA$15=""),"",IF($I55="念",VLOOKUP("念じボール",敵技,6,0),IF($I55="叩",VLOOKUP("叩きつける",敵技,6,0),0))+MAX(1,ROUNDDOWN(IF(AA$9="あり",0.5,IF(AA$9="大防御",0.1,1))*ROUNDDOWN((ROUNDDOWN((計算!$I9-ROUNDDOWN((計算!$AG$8+MAX(-(計算!$AG$8),MIN(200,(ROUNDDOWN(計算!$AG$8/2,0)*AA$10+ROUNDDOWN(計算!$AG$8/4,0)*AA$11))))/2,0))/2,0)+(1+ROUNDDOWN(ROUNDDOWN((計算!$I9-ROUNDDOWN((計算!$AG$8+MAX(-(計算!$AG$8),MIN(200,(ROUNDDOWN(計算!$AG$8/2,0)*AA$10+ROUNDDOWN(計算!$AG$8/4,0)*AA$11))))/2,0))/2,0)/16,0)))/2,0),0)))</f>
        <v>159</v>
      </c>
      <c r="AD55" s="260"/>
      <c r="AE55" s="257">
        <f ca="1">IF(OR($H21="",AE$15=""),"",IF($I55="念",VLOOKUP("念じボール",敵技,6,0),IF($I55="叩",VLOOKUP("叩きつける",敵技,6,0),0))+MAX(0,ROUNDDOWN(IF(AE$9="あり",0.5,IF(AE$9="大防御",0.1,1))*ROUNDDOWN((ROUNDDOWN((計算!$I9-ROUNDDOWN((計算!$AG$9+MAX(-(計算!$AG$9),MIN(200,(ROUNDDOWN(計算!$AG$9/2,0)*AE$10+ROUNDDOWN(計算!$AG$9/4,0)*AE$11))))/2,0))/2,0)-(1+ROUNDDOWN(ROUNDDOWN((計算!$I9-ROUNDDOWN((計算!$AG$9+MAX(-(計算!$AG$9),MIN(200,(ROUNDDOWN(計算!$AG$9/2,0)*AE$10+ROUNDDOWN(計算!$AG$9/4,0)*AE$11))))/2,0))/2,0)/16,0)))/2,0),0)))</f>
        <v>147</v>
      </c>
      <c r="AF55" s="258"/>
      <c r="AG55" s="259">
        <f ca="1">IF(OR($H21="",AE$15=""),"",IF($I55="念",VLOOKUP("念じボール",敵技,6,0),IF($I55="叩",VLOOKUP("叩きつける",敵技,6,0),0))+MAX(1,ROUNDDOWN(IF(AE$9="あり",0.5,IF(AE$9="大防御",0.1,1))*ROUNDDOWN((ROUNDDOWN((計算!$I9-ROUNDDOWN((計算!$AG$9+MAX(-(計算!$AG$9),MIN(200,(ROUNDDOWN(計算!$AG$9/2,0)*AE$10+ROUNDDOWN(計算!$AG$9/4,0)*AE$11))))/2,0))/2,0)+(1+ROUNDDOWN(ROUNDDOWN((計算!$I9-ROUNDDOWN((計算!$AG$9+MAX(-(計算!$AG$9),MIN(200,(ROUNDDOWN(計算!$AG$9/2,0)*AE$10+ROUNDDOWN(計算!$AG$9/4,0)*AE$11))))/2,0))/2,0)/16,0)))/2,0),0)))</f>
        <v>154</v>
      </c>
      <c r="AH55" s="260"/>
      <c r="AI55" s="257">
        <f ca="1">IF(OR($H21="",AI$15=""),"",IF($I55="念",VLOOKUP("念じボール",敵技,6,0),IF($I55="叩",VLOOKUP("叩きつける",敵技,6,0),0))+MAX(0,ROUNDDOWN(IF(AI$9="あり",0.5,IF(AI$9="大防御",0.1,1))*ROUNDDOWN((ROUNDDOWN((計算!$I9-ROUNDDOWN((計算!$AG$10+MAX(-(計算!$AG$10),MIN(200,(ROUNDDOWN(計算!$AG$10/2,0)*AI$10+ROUNDDOWN(計算!$AG$10/4,0)*AI$11))))/2,0))/2,0)-(1+ROUNDDOWN(ROUNDDOWN((計算!$I9-ROUNDDOWN((計算!$AG$10+MAX(-(計算!$AG$10),MIN(200,(ROUNDDOWN(計算!$AG$10/2,0)*AI$10+ROUNDDOWN(計算!$AG$10/4,0)*AI$11))))/2,0))/2,0)/16,0)))/2,0),0)))</f>
        <v>137</v>
      </c>
      <c r="AJ55" s="258"/>
      <c r="AK55" s="259">
        <f ca="1">IF(OR($H21="",AI$15=""),"",IF($I55="念",VLOOKUP("念じボール",敵技,6,0),IF($I55="叩",VLOOKUP("叩きつける",敵技,6,0),0))+MAX(1,ROUNDDOWN(IF(AI$9="あり",0.5,IF(AI$9="大防御",0.1,1))*ROUNDDOWN((ROUNDDOWN((計算!$I9-ROUNDDOWN((計算!$AG$10+MAX(-(計算!$AG$10),MIN(200,(ROUNDDOWN(計算!$AG$10/2,0)*AI$10+ROUNDDOWN(計算!$AG$10/4,0)*AI$11))))/2,0))/2,0)+(1+ROUNDDOWN(ROUNDDOWN((計算!$I9-ROUNDDOWN((計算!$AG$10+MAX(-(計算!$AG$10),MIN(200,(ROUNDDOWN(計算!$AG$10/2,0)*AI$10+ROUNDDOWN(計算!$AG$10/4,0)*AI$11))))/2,0))/2,0)/16,0)))/2,0),0)))</f>
        <v>143</v>
      </c>
      <c r="AL55" s="260"/>
      <c r="AM55" s="257">
        <f ca="1">IF(OR($H21="",AM$15=""),"",IF($I55="念",VLOOKUP("念じボール",敵技,6,0),IF($I55="叩",VLOOKUP("叩きつける",敵技,6,0),0))+MAX(0,ROUNDDOWN(IF(AM$9="あり",0.5,IF(AM$9="大防御",0.1,1))*ROUNDDOWN((ROUNDDOWN((計算!$I9-ROUNDDOWN((計算!$AG$11+MAX(-(計算!$AG$11),MIN(200,(ROUNDDOWN(計算!$AG$11/2,0)*AM$10+ROUNDDOWN(計算!$AG$11/4,0)*AM$11))))/2,0))/2,0)-(1+ROUNDDOWN(ROUNDDOWN((計算!$I9-ROUNDDOWN((計算!$AG$11+MAX(-(計算!$AG$11),MIN(200,(ROUNDDOWN(計算!$AG$11/2,0)*AM$10+ROUNDDOWN(計算!$AG$11/4,0)*AM$11))))/2,0))/2,0)/16,0)))/2,0),0)))</f>
        <v>122</v>
      </c>
      <c r="AN55" s="258"/>
      <c r="AO55" s="259">
        <f ca="1">IF(OR($H21="",AM$15=""),"",IF($I55="念",VLOOKUP("念じボール",敵技,6,0),IF($I55="叩",VLOOKUP("叩きつける",敵技,6,0),0))+MAX(1,ROUNDDOWN(IF(AM$9="あり",0.5,IF(AM$9="大防御",0.1,1))*ROUNDDOWN((ROUNDDOWN((計算!$I9-ROUNDDOWN((計算!$AG$11+MAX(-(計算!$AG$11),MIN(200,(ROUNDDOWN(計算!$AG$11/2,0)*AM$10+ROUNDDOWN(計算!$AG$11/4,0)*AM$11))))/2,0))/2,0)+(1+ROUNDDOWN(ROUNDDOWN((計算!$I9-ROUNDDOWN((計算!$AG$11+MAX(-(計算!$AG$11),MIN(200,(ROUNDDOWN(計算!$AG$11/2,0)*AM$10+ROUNDDOWN(計算!$AG$11/4,0)*AM$11))))/2,0))/2,0)/16,0)))/2,0),0)))</f>
        <v>126</v>
      </c>
      <c r="AP55" s="260"/>
      <c r="AT55" s="98" t="str">
        <f t="shared" ca="1" si="121"/>
        <v>アモス</v>
      </c>
      <c r="AU55" s="108" t="str">
        <f t="shared" ref="AU55:AV55" si="126">AU21</f>
        <v/>
      </c>
      <c r="AV55" s="108" t="str">
        <f t="shared" si="126"/>
        <v/>
      </c>
      <c r="AW55" s="290" t="str">
        <f t="shared" ca="1" si="104"/>
        <v/>
      </c>
      <c r="AX55" s="260"/>
      <c r="AY55" s="290" t="str">
        <f t="shared" ca="1" si="105"/>
        <v/>
      </c>
      <c r="AZ55" s="260"/>
      <c r="BA55" s="290" t="str">
        <f t="shared" ca="1" si="106"/>
        <v/>
      </c>
      <c r="BB55" s="260"/>
      <c r="BC55" s="290" t="str">
        <f t="shared" ca="1" si="107"/>
        <v/>
      </c>
      <c r="BD55" s="260"/>
      <c r="BE55" s="290" t="str">
        <f t="shared" ca="1" si="108"/>
        <v/>
      </c>
      <c r="BF55" s="260"/>
      <c r="BG55" s="290" t="str">
        <f t="shared" ca="1" si="109"/>
        <v/>
      </c>
      <c r="BH55" s="260"/>
      <c r="BI55" s="290" t="str">
        <f t="shared" ca="1" si="110"/>
        <v/>
      </c>
      <c r="BJ55" s="260"/>
      <c r="BK55" s="290" t="str">
        <f t="shared" ca="1" si="111"/>
        <v/>
      </c>
      <c r="BL55" s="260"/>
      <c r="BM55" s="290" t="str">
        <f t="shared" ca="1" si="112"/>
        <v/>
      </c>
      <c r="BN55" s="260"/>
      <c r="BO55" s="290" t="str">
        <f t="shared" ca="1" si="113"/>
        <v/>
      </c>
      <c r="BP55" s="260"/>
      <c r="BQ55" s="290" t="str">
        <f t="shared" ca="1" si="114"/>
        <v/>
      </c>
      <c r="BR55" s="260"/>
      <c r="BS55" s="290" t="str">
        <f t="shared" ca="1" si="115"/>
        <v/>
      </c>
      <c r="BT55" s="260"/>
      <c r="BU55" s="290" t="str">
        <f t="shared" ca="1" si="116"/>
        <v/>
      </c>
      <c r="BV55" s="260"/>
      <c r="BW55" s="290" t="str">
        <f t="shared" ca="1" si="117"/>
        <v/>
      </c>
      <c r="BX55" s="260"/>
      <c r="BY55" s="290" t="str">
        <f t="shared" ca="1" si="118"/>
        <v/>
      </c>
      <c r="BZ55" s="260"/>
      <c r="CA55" s="290" t="str">
        <f t="shared" ca="1" si="119"/>
        <v/>
      </c>
      <c r="CB55" s="260"/>
    </row>
    <row r="56" spans="2:80" x14ac:dyDescent="0.15">
      <c r="B56" s="9">
        <f t="shared" ca="1" si="0"/>
        <v>0</v>
      </c>
      <c r="C56" s="9">
        <f t="shared" ca="1" si="1"/>
        <v>0</v>
      </c>
      <c r="D56" s="9">
        <v>403</v>
      </c>
      <c r="H56" s="98" t="str">
        <f t="shared" ca="1" si="120"/>
        <v>みぎて</v>
      </c>
      <c r="I56" s="108" t="str">
        <f>IF(計算!F42="","",VLOOKUP(計算!F42,敵技,4,0))</f>
        <v>叩</v>
      </c>
      <c r="J56" s="106" t="str">
        <f>IF(計算!F42="","",VLOOKUP(計算!F42,敵技,5,0))</f>
        <v>物理</v>
      </c>
      <c r="K56" s="257">
        <f ca="1">IF(OR($H22="",K$15=""),"",IF($I56="念",VLOOKUP("念じボール",敵技,6,0),IF($I56="叩",VLOOKUP("叩きつける",敵技,6,0),0))+MAX(0,ROUNDDOWN(IF(K$9="あり",0.5,IF(K$9="大防御",0.1,1))*ROUNDDOWN((ROUNDDOWN((計算!$I10-ROUNDDOWN((計算!$AG$4+MAX(-(計算!$AG$4),MIN(200,(ROUNDDOWN(計算!$AG$4/2,0)*K$10+ROUNDDOWN(計算!$AG$4/4,0)*K$11))))/2,0))/2,0)-(1+ROUNDDOWN(ROUNDDOWN((計算!$I10-ROUNDDOWN((計算!$AG$4+MAX(-(計算!$AG$4),MIN(200,(ROUNDDOWN(計算!$AG$4/2,0)*K$10+ROUNDDOWN(計算!$AG$4/4,0)*K$11))))/2,0))/2,0)/16,0)))/2,0),0)))</f>
        <v>152</v>
      </c>
      <c r="L56" s="258"/>
      <c r="M56" s="259">
        <f ca="1">IF(OR($H22="",K$15=""),"",IF($I56="念",VLOOKUP("念じボール",敵技,6,0),IF($I56="叩",VLOOKUP("叩きつける",敵技,6,0),0))+MAX(1,ROUNDDOWN(IF(K$9="あり",0.5,IF(K$9="大防御",0.1,1))*ROUNDDOWN((ROUNDDOWN((計算!$I10-ROUNDDOWN((計算!$AG$4+MAX(-(計算!$AG$4),MIN(200,(ROUNDDOWN(計算!$AG$4/2,0)*K$10+ROUNDDOWN(計算!$AG$4/4,0)*K$11))))/2,0))/2,0)+(1+ROUNDDOWN(ROUNDDOWN((計算!$I10-ROUNDDOWN((計算!$AG$4+MAX(-(計算!$AG$4),MIN(200,(ROUNDDOWN(計算!$AG$4/2,0)*K$10+ROUNDDOWN(計算!$AG$4/4,0)*K$11))))/2,0))/2,0)/16,0)))/2,0),0)))</f>
        <v>159</v>
      </c>
      <c r="N56" s="260"/>
      <c r="O56" s="257">
        <f ca="1">IF(OR($H22="",O$15=""),"",IF($I56="念",VLOOKUP("念じボール",敵技,6,0),IF($I56="叩",VLOOKUP("叩きつける",敵技,6,0),0))+MAX(0,ROUNDDOWN(IF(O$9="あり",0.5,IF(O$9="大防御",0.1,1))*ROUNDDOWN((ROUNDDOWN((計算!$I10-ROUNDDOWN((計算!$AG$5+MAX(-(計算!$AG$5),MIN(200,(ROUNDDOWN(計算!$AG$5/2,0)*O$10+ROUNDDOWN(計算!$AG$5/4,0)*O$11))))/2,0))/2,0)-(1+ROUNDDOWN(ROUNDDOWN((計算!$I10-ROUNDDOWN((計算!$AG$5+MAX(-(計算!$AG$5),MIN(200,(ROUNDDOWN(計算!$AG$5/2,0)*O$10+ROUNDDOWN(計算!$AG$5/4,0)*O$11))))/2,0))/2,0)/16,0)))/2,0),0)))</f>
        <v>144</v>
      </c>
      <c r="P56" s="258"/>
      <c r="Q56" s="259">
        <f ca="1">IF(OR($H22="",O$15=""),"",IF($I56="念",VLOOKUP("念じボール",敵技,6,0),IF($I56="叩",VLOOKUP("叩きつける",敵技,6,0),0))+MAX(1,ROUNDDOWN(IF(O$9="あり",0.5,IF(O$9="大防御",0.1,1))*ROUNDDOWN((ROUNDDOWN((計算!$I10-ROUNDDOWN((計算!$AG$5+MAX(-(計算!$AG$5),MIN(200,(ROUNDDOWN(計算!$AG$5/2,0)*O$10+ROUNDDOWN(計算!$AG$5/4,0)*O$11))))/2,0))/2,0)+(1+ROUNDDOWN(ROUNDDOWN((計算!$I10-ROUNDDOWN((計算!$AG$5+MAX(-(計算!$AG$5),MIN(200,(ROUNDDOWN(計算!$AG$5/2,0)*O$10+ROUNDDOWN(計算!$AG$5/4,0)*O$11))))/2,0))/2,0)/16,0)))/2,0),0)))</f>
        <v>151</v>
      </c>
      <c r="R56" s="260"/>
      <c r="S56" s="257">
        <f ca="1">IF(OR($H22="",S$15=""),"",IF($I56="念",VLOOKUP("念じボール",敵技,6,0),IF($I56="叩",VLOOKUP("叩きつける",敵技,6,0),0))+MAX(0,ROUNDDOWN(IF(S$9="あり",0.5,IF(S$9="大防御",0.1,1))*ROUNDDOWN((ROUNDDOWN((計算!$I10-ROUNDDOWN((計算!$AG$6+MAX(-(計算!$AG$6),MIN(200,(ROUNDDOWN(計算!$AG$6/2,0)*S$10+ROUNDDOWN(計算!$AG$6/4,0)*S$11))))/2,0))/2,0)-(1+ROUNDDOWN(ROUNDDOWN((計算!$I10-ROUNDDOWN((計算!$AG$6+MAX(-(計算!$AG$6),MIN(200,(ROUNDDOWN(計算!$AG$6/2,0)*S$10+ROUNDDOWN(計算!$AG$6/4,0)*S$11))))/2,0))/2,0)/16,0)))/2,0),0)))</f>
        <v>164</v>
      </c>
      <c r="T56" s="258"/>
      <c r="U56" s="259">
        <f ca="1">IF(OR($H22="",S$15=""),"",IF($I56="念",VLOOKUP("念じボール",敵技,6,0),IF($I56="叩",VLOOKUP("叩きつける",敵技,6,0),0))+MAX(1,ROUNDDOWN(IF(S$9="あり",0.5,IF(S$9="大防御",0.1,1))*ROUNDDOWN((ROUNDDOWN((計算!$I10-ROUNDDOWN((計算!$AG$6+MAX(-(計算!$AG$6),MIN(200,(ROUNDDOWN(計算!$AG$6/2,0)*S$10+ROUNDDOWN(計算!$AG$6/4,0)*S$11))))/2,0))/2,0)+(1+ROUNDDOWN(ROUNDDOWN((計算!$I10-ROUNDDOWN((計算!$AG$6+MAX(-(計算!$AG$6),MIN(200,(ROUNDDOWN(計算!$AG$6/2,0)*S$10+ROUNDDOWN(計算!$AG$6/4,0)*S$11))))/2,0))/2,0)/16,0)))/2,0),0)))</f>
        <v>173</v>
      </c>
      <c r="V56" s="260"/>
      <c r="W56" s="257">
        <f ca="1">IF(OR($H22="",W$15=""),"",IF($I56="念",VLOOKUP("念じボール",敵技,6,0),IF($I56="叩",VLOOKUP("叩きつける",敵技,6,0),0))+MAX(0,ROUNDDOWN(IF(W$9="あり",0.5,IF(W$9="大防御",0.1,1))*ROUNDDOWN((ROUNDDOWN((計算!$I10-ROUNDDOWN((計算!$AG$7+MAX(-(計算!$AG$7),MIN(200,(ROUNDDOWN(計算!$AG$7/2,0)*W$10+ROUNDDOWN(計算!$AG$7/4,0)*W$11))))/2,0))/2,0)-(1+ROUNDDOWN(ROUNDDOWN((計算!$I10-ROUNDDOWN((計算!$AG$7+MAX(-(計算!$AG$7),MIN(200,(ROUNDDOWN(計算!$AG$7/2,0)*W$10+ROUNDDOWN(計算!$AG$7/4,0)*W$11))))/2,0))/2,0)/16,0)))/2,0),0)))</f>
        <v>171</v>
      </c>
      <c r="X56" s="258"/>
      <c r="Y56" s="259">
        <f ca="1">IF(OR($H22="",W$15=""),"",IF($I56="念",VLOOKUP("念じボール",敵技,6,0),IF($I56="叩",VLOOKUP("叩きつける",敵技,6,0),0))+MAX(1,ROUNDDOWN(IF(W$9="あり",0.5,IF(W$9="大防御",0.1,1))*ROUNDDOWN((ROUNDDOWN((計算!$I10-ROUNDDOWN((計算!$AG$7+MAX(-(計算!$AG$7),MIN(200,(ROUNDDOWN(計算!$AG$7/2,0)*W$10+ROUNDDOWN(計算!$AG$7/4,0)*W$11))))/2,0))/2,0)+(1+ROUNDDOWN(ROUNDDOWN((計算!$I10-ROUNDDOWN((計算!$AG$7+MAX(-(計算!$AG$7),MIN(200,(ROUNDDOWN(計算!$AG$7/2,0)*W$10+ROUNDDOWN(計算!$AG$7/4,0)*W$11))))/2,0))/2,0)/16,0)))/2,0),0)))</f>
        <v>181</v>
      </c>
      <c r="Z56" s="260"/>
      <c r="AA56" s="257">
        <f ca="1">IF(OR($H22="",AA$15=""),"",IF($I56="念",VLOOKUP("念じボール",敵技,6,0),IF($I56="叩",VLOOKUP("叩きつける",敵技,6,0),0))+MAX(0,ROUNDDOWN(IF(AA$9="あり",0.5,IF(AA$9="大防御",0.1,1))*ROUNDDOWN((ROUNDDOWN((計算!$I10-ROUNDDOWN((計算!$AG$8+MAX(-(計算!$AG$8),MIN(200,(ROUNDDOWN(計算!$AG$8/2,0)*AA$10+ROUNDDOWN(計算!$AG$8/4,0)*AA$11))))/2,0))/2,0)-(1+ROUNDDOWN(ROUNDDOWN((計算!$I10-ROUNDDOWN((計算!$AG$8+MAX(-(計算!$AG$8),MIN(200,(ROUNDDOWN(計算!$AG$8/2,0)*AA$10+ROUNDDOWN(計算!$AG$8/4,0)*AA$11))))/2,0))/2,0)/16,0)))/2,0),0)))</f>
        <v>166</v>
      </c>
      <c r="AB56" s="258"/>
      <c r="AC56" s="259">
        <f ca="1">IF(OR($H22="",AA$15=""),"",IF($I56="念",VLOOKUP("念じボール",敵技,6,0),IF($I56="叩",VLOOKUP("叩きつける",敵技,6,0),0))+MAX(1,ROUNDDOWN(IF(AA$9="あり",0.5,IF(AA$9="大防御",0.1,1))*ROUNDDOWN((ROUNDDOWN((計算!$I10-ROUNDDOWN((計算!$AG$8+MAX(-(計算!$AG$8),MIN(200,(ROUNDDOWN(計算!$AG$8/2,0)*AA$10+ROUNDDOWN(計算!$AG$8/4,0)*AA$11))))/2,0))/2,0)+(1+ROUNDDOWN(ROUNDDOWN((計算!$I10-ROUNDDOWN((計算!$AG$8+MAX(-(計算!$AG$8),MIN(200,(ROUNDDOWN(計算!$AG$8/2,0)*AA$10+ROUNDDOWN(計算!$AG$8/4,0)*AA$11))))/2,0))/2,0)/16,0)))/2,0),0)))</f>
        <v>175</v>
      </c>
      <c r="AD56" s="260"/>
      <c r="AE56" s="257">
        <f ca="1">IF(OR($H22="",AE$15=""),"",IF($I56="念",VLOOKUP("念じボール",敵技,6,0),IF($I56="叩",VLOOKUP("叩きつける",敵技,6,0),0))+MAX(0,ROUNDDOWN(IF(AE$9="あり",0.5,IF(AE$9="大防御",0.1,1))*ROUNDDOWN((ROUNDDOWN((計算!$I10-ROUNDDOWN((計算!$AG$9+MAX(-(計算!$AG$9),MIN(200,(ROUNDDOWN(計算!$AG$9/2,0)*AE$10+ROUNDDOWN(計算!$AG$9/4,0)*AE$11))))/2,0))/2,0)-(1+ROUNDDOWN(ROUNDDOWN((計算!$I10-ROUNDDOWN((計算!$AG$9+MAX(-(計算!$AG$9),MIN(200,(ROUNDDOWN(計算!$AG$9/2,0)*AE$10+ROUNDDOWN(計算!$AG$9/4,0)*AE$11))))/2,0))/2,0)/16,0)))/2,0),0)))</f>
        <v>161</v>
      </c>
      <c r="AF56" s="258"/>
      <c r="AG56" s="259">
        <f ca="1">IF(OR($H22="",AE$15=""),"",IF($I56="念",VLOOKUP("念じボール",敵技,6,0),IF($I56="叩",VLOOKUP("叩きつける",敵技,6,0),0))+MAX(1,ROUNDDOWN(IF(AE$9="あり",0.5,IF(AE$9="大防御",0.1,1))*ROUNDDOWN((ROUNDDOWN((計算!$I10-ROUNDDOWN((計算!$AG$9+MAX(-(計算!$AG$9),MIN(200,(ROUNDDOWN(計算!$AG$9/2,0)*AE$10+ROUNDDOWN(計算!$AG$9/4,0)*AE$11))))/2,0))/2,0)+(1+ROUNDDOWN(ROUNDDOWN((計算!$I10-ROUNDDOWN((計算!$AG$9+MAX(-(計算!$AG$9),MIN(200,(ROUNDDOWN(計算!$AG$9/2,0)*AE$10+ROUNDDOWN(計算!$AG$9/4,0)*AE$11))))/2,0))/2,0)/16,0)))/2,0),0)))</f>
        <v>170</v>
      </c>
      <c r="AH56" s="260"/>
      <c r="AI56" s="257">
        <f ca="1">IF(OR($H22="",AI$15=""),"",IF($I56="念",VLOOKUP("念じボール",敵技,6,0),IF($I56="叩",VLOOKUP("叩きつける",敵技,6,0),0))+MAX(0,ROUNDDOWN(IF(AI$9="あり",0.5,IF(AI$9="大防御",0.1,1))*ROUNDDOWN((ROUNDDOWN((計算!$I10-ROUNDDOWN((計算!$AG$10+MAX(-(計算!$AG$10),MIN(200,(ROUNDDOWN(計算!$AG$10/2,0)*AI$10+ROUNDDOWN(計算!$AG$10/4,0)*AI$11))))/2,0))/2,0)-(1+ROUNDDOWN(ROUNDDOWN((計算!$I10-ROUNDDOWN((計算!$AG$10+MAX(-(計算!$AG$10),MIN(200,(ROUNDDOWN(計算!$AG$10/2,0)*AI$10+ROUNDDOWN(計算!$AG$10/4,0)*AI$11))))/2,0))/2,0)/16,0)))/2,0),0)))</f>
        <v>151</v>
      </c>
      <c r="AJ56" s="258"/>
      <c r="AK56" s="259">
        <f ca="1">IF(OR($H22="",AI$15=""),"",IF($I56="念",VLOOKUP("念じボール",敵技,6,0),IF($I56="叩",VLOOKUP("叩きつける",敵技,6,0),0))+MAX(1,ROUNDDOWN(IF(AI$9="あり",0.5,IF(AI$9="大防御",0.1,1))*ROUNDDOWN((ROUNDDOWN((計算!$I10-ROUNDDOWN((計算!$AG$10+MAX(-(計算!$AG$10),MIN(200,(ROUNDDOWN(計算!$AG$10/2,0)*AI$10+ROUNDDOWN(計算!$AG$10/4,0)*AI$11))))/2,0))/2,0)+(1+ROUNDDOWN(ROUNDDOWN((計算!$I10-ROUNDDOWN((計算!$AG$10+MAX(-(計算!$AG$10),MIN(200,(ROUNDDOWN(計算!$AG$10/2,0)*AI$10+ROUNDDOWN(計算!$AG$10/4,0)*AI$11))))/2,0))/2,0)/16,0)))/2,0),0)))</f>
        <v>158</v>
      </c>
      <c r="AL56" s="260"/>
      <c r="AM56" s="257">
        <f ca="1">IF(OR($H22="",AM$15=""),"",IF($I56="念",VLOOKUP("念じボール",敵技,6,0),IF($I56="叩",VLOOKUP("叩きつける",敵技,6,0),0))+MAX(0,ROUNDDOWN(IF(AM$9="あり",0.5,IF(AM$9="大防御",0.1,1))*ROUNDDOWN((ROUNDDOWN((計算!$I10-ROUNDDOWN((計算!$AG$11+MAX(-(計算!$AG$11),MIN(200,(ROUNDDOWN(計算!$AG$11/2,0)*AM$10+ROUNDDOWN(計算!$AG$11/4,0)*AM$11))))/2,0))/2,0)-(1+ROUNDDOWN(ROUNDDOWN((計算!$I10-ROUNDDOWN((計算!$AG$11+MAX(-(計算!$AG$11),MIN(200,(ROUNDDOWN(計算!$AG$11/2,0)*AM$10+ROUNDDOWN(計算!$AG$11/4,0)*AM$11))))/2,0))/2,0)/16,0)))/2,0),0)))</f>
        <v>137</v>
      </c>
      <c r="AN56" s="258"/>
      <c r="AO56" s="259">
        <f ca="1">IF(OR($H22="",AM$15=""),"",IF($I56="念",VLOOKUP("念じボール",敵技,6,0),IF($I56="叩",VLOOKUP("叩きつける",敵技,6,0),0))+MAX(1,ROUNDDOWN(IF(AM$9="あり",0.5,IF(AM$9="大防御",0.1,1))*ROUNDDOWN((ROUNDDOWN((計算!$I10-ROUNDDOWN((計算!$AG$11+MAX(-(計算!$AG$11),MIN(200,(ROUNDDOWN(計算!$AG$11/2,0)*AM$10+ROUNDDOWN(計算!$AG$11/4,0)*AM$11))))/2,0))/2,0)+(1+ROUNDDOWN(ROUNDDOWN((計算!$I10-ROUNDDOWN((計算!$AG$11+MAX(-(計算!$AG$11),MIN(200,(ROUNDDOWN(計算!$AG$11/2,0)*AM$10+ROUNDDOWN(計算!$AG$11/4,0)*AM$11))))/2,0))/2,0)/16,0)))/2,0),0)))</f>
        <v>142</v>
      </c>
      <c r="AP56" s="260"/>
      <c r="AT56" s="98" t="str">
        <f t="shared" ca="1" si="121"/>
        <v>テリー</v>
      </c>
      <c r="AU56" s="108" t="str">
        <f t="shared" ref="AU56:AV56" si="127">AU22</f>
        <v>デ</v>
      </c>
      <c r="AV56" s="108" t="str">
        <f t="shared" si="127"/>
        <v>中</v>
      </c>
      <c r="AW56" s="290" t="str">
        <f t="shared" ca="1" si="104"/>
        <v/>
      </c>
      <c r="AX56" s="260"/>
      <c r="AY56" s="290" t="str">
        <f t="shared" ca="1" si="105"/>
        <v/>
      </c>
      <c r="AZ56" s="260"/>
      <c r="BA56" s="290" t="str">
        <f t="shared" ca="1" si="106"/>
        <v/>
      </c>
      <c r="BB56" s="260"/>
      <c r="BC56" s="290" t="str">
        <f t="shared" ca="1" si="107"/>
        <v/>
      </c>
      <c r="BD56" s="260"/>
      <c r="BE56" s="290" t="str">
        <f t="shared" ca="1" si="108"/>
        <v/>
      </c>
      <c r="BF56" s="260"/>
      <c r="BG56" s="290" t="str">
        <f t="shared" ca="1" si="109"/>
        <v/>
      </c>
      <c r="BH56" s="260"/>
      <c r="BI56" s="290" t="str">
        <f t="shared" ca="1" si="110"/>
        <v/>
      </c>
      <c r="BJ56" s="260"/>
      <c r="BK56" s="290" t="str">
        <f t="shared" ca="1" si="111"/>
        <v/>
      </c>
      <c r="BL56" s="260"/>
      <c r="BM56" s="290" t="str">
        <f t="shared" ca="1" si="112"/>
        <v/>
      </c>
      <c r="BN56" s="260"/>
      <c r="BO56" s="290" t="str">
        <f t="shared" ca="1" si="113"/>
        <v/>
      </c>
      <c r="BP56" s="260"/>
      <c r="BQ56" s="290" t="str">
        <f t="shared" ca="1" si="114"/>
        <v/>
      </c>
      <c r="BR56" s="260"/>
      <c r="BS56" s="290" t="str">
        <f t="shared" ca="1" si="115"/>
        <v/>
      </c>
      <c r="BT56" s="260"/>
      <c r="BU56" s="290" t="str">
        <f t="shared" ca="1" si="116"/>
        <v/>
      </c>
      <c r="BV56" s="260"/>
      <c r="BW56" s="290" t="str">
        <f t="shared" ca="1" si="117"/>
        <v/>
      </c>
      <c r="BX56" s="260"/>
      <c r="BY56" s="290" t="str">
        <f t="shared" ca="1" si="118"/>
        <v/>
      </c>
      <c r="BZ56" s="260"/>
      <c r="CA56" s="290" t="str">
        <f t="shared" ca="1" si="119"/>
        <v/>
      </c>
      <c r="CB56" s="260"/>
    </row>
    <row r="57" spans="2:80" x14ac:dyDescent="0.15">
      <c r="B57" s="9">
        <f t="shared" ca="1" si="0"/>
        <v>0</v>
      </c>
      <c r="C57" s="9">
        <f t="shared" ca="1" si="1"/>
        <v>0</v>
      </c>
      <c r="D57" s="9">
        <v>411</v>
      </c>
      <c r="H57" s="98" t="str">
        <f t="shared" ca="1" si="120"/>
        <v>みぎて</v>
      </c>
      <c r="I57" s="108" t="str">
        <f>IF(計算!F43="","",VLOOKUP(計算!F43,敵技,4,0))</f>
        <v>なし</v>
      </c>
      <c r="J57" s="106" t="str">
        <f>IF(計算!F43="","",VLOOKUP(計算!F43,敵技,5,0))</f>
        <v>物理</v>
      </c>
      <c r="K57" s="257">
        <f ca="1">IF(OR($H23="",K$15=""),"",IF($I57="念",VLOOKUP("念じボール",敵技,6,0),IF($I57="叩",VLOOKUP("叩きつける",敵技,6,0),0))+MAX(0,ROUNDDOWN(IF(K$9="あり",0.5,IF(K$9="大防御",0.1,1))*ROUNDDOWN((ROUNDDOWN((計算!$I11-ROUNDDOWN((計算!$AG$4+MAX(-(計算!$AG$4),MIN(200,(ROUNDDOWN(計算!$AG$4/2,0)*K$10+ROUNDDOWN(計算!$AG$4/4,0)*K$11))))/2,0))/2,0)-(1+ROUNDDOWN(ROUNDDOWN((計算!$I11-ROUNDDOWN((計算!$AG$4+MAX(-(計算!$AG$4),MIN(200,(ROUNDDOWN(計算!$AG$4/2,0)*K$10+ROUNDDOWN(計算!$AG$4/4,0)*K$11))))/2,0))/2,0)/16,0)))/2,0),0)))</f>
        <v>52</v>
      </c>
      <c r="L57" s="258"/>
      <c r="M57" s="259">
        <f ca="1">IF(OR($H23="",K$15=""),"",IF($I57="念",VLOOKUP("念じボール",敵技,6,0),IF($I57="叩",VLOOKUP("叩きつける",敵技,6,0),0))+MAX(1,ROUNDDOWN(IF(K$9="あり",0.5,IF(K$9="大防御",0.1,1))*ROUNDDOWN((ROUNDDOWN((計算!$I11-ROUNDDOWN((計算!$AG$4+MAX(-(計算!$AG$4),MIN(200,(ROUNDDOWN(計算!$AG$4/2,0)*K$10+ROUNDDOWN(計算!$AG$4/4,0)*K$11))))/2,0))/2,0)+(1+ROUNDDOWN(ROUNDDOWN((計算!$I11-ROUNDDOWN((計算!$AG$4+MAX(-(計算!$AG$4),MIN(200,(ROUNDDOWN(計算!$AG$4/2,0)*K$10+ROUNDDOWN(計算!$AG$4/4,0)*K$11))))/2,0))/2,0)/16,0)))/2,0),0)))</f>
        <v>59</v>
      </c>
      <c r="N57" s="260"/>
      <c r="O57" s="257">
        <f ca="1">IF(OR($H23="",O$15=""),"",IF($I57="念",VLOOKUP("念じボール",敵技,6,0),IF($I57="叩",VLOOKUP("叩きつける",敵技,6,0),0))+MAX(0,ROUNDDOWN(IF(O$9="あり",0.5,IF(O$9="大防御",0.1,1))*ROUNDDOWN((ROUNDDOWN((計算!$I11-ROUNDDOWN((計算!$AG$5+MAX(-(計算!$AG$5),MIN(200,(ROUNDDOWN(計算!$AG$5/2,0)*O$10+ROUNDDOWN(計算!$AG$5/4,0)*O$11))))/2,0))/2,0)-(1+ROUNDDOWN(ROUNDDOWN((計算!$I11-ROUNDDOWN((計算!$AG$5+MAX(-(計算!$AG$5),MIN(200,(ROUNDDOWN(計算!$AG$5/2,0)*O$10+ROUNDDOWN(計算!$AG$5/4,0)*O$11))))/2,0))/2,0)/16,0)))/2,0),0)))</f>
        <v>44</v>
      </c>
      <c r="P57" s="258"/>
      <c r="Q57" s="259">
        <f ca="1">IF(OR($H23="",O$15=""),"",IF($I57="念",VLOOKUP("念じボール",敵技,6,0),IF($I57="叩",VLOOKUP("叩きつける",敵技,6,0),0))+MAX(1,ROUNDDOWN(IF(O$9="あり",0.5,IF(O$9="大防御",0.1,1))*ROUNDDOWN((ROUNDDOWN((計算!$I11-ROUNDDOWN((計算!$AG$5+MAX(-(計算!$AG$5),MIN(200,(ROUNDDOWN(計算!$AG$5/2,0)*O$10+ROUNDDOWN(計算!$AG$5/4,0)*O$11))))/2,0))/2,0)+(1+ROUNDDOWN(ROUNDDOWN((計算!$I11-ROUNDDOWN((計算!$AG$5+MAX(-(計算!$AG$5),MIN(200,(ROUNDDOWN(計算!$AG$5/2,0)*O$10+ROUNDDOWN(計算!$AG$5/4,0)*O$11))))/2,0))/2,0)/16,0)))/2,0),0)))</f>
        <v>51</v>
      </c>
      <c r="R57" s="260"/>
      <c r="S57" s="257">
        <f ca="1">IF(OR($H23="",S$15=""),"",IF($I57="念",VLOOKUP("念じボール",敵技,6,0),IF($I57="叩",VLOOKUP("叩きつける",敵技,6,0),0))+MAX(0,ROUNDDOWN(IF(S$9="あり",0.5,IF(S$9="大防御",0.1,1))*ROUNDDOWN((ROUNDDOWN((計算!$I11-ROUNDDOWN((計算!$AG$6+MAX(-(計算!$AG$6),MIN(200,(ROUNDDOWN(計算!$AG$6/2,0)*S$10+ROUNDDOWN(計算!$AG$6/4,0)*S$11))))/2,0))/2,0)-(1+ROUNDDOWN(ROUNDDOWN((計算!$I11-ROUNDDOWN((計算!$AG$6+MAX(-(計算!$AG$6),MIN(200,(ROUNDDOWN(計算!$AG$6/2,0)*S$10+ROUNDDOWN(計算!$AG$6/4,0)*S$11))))/2,0))/2,0)/16,0)))/2,0),0)))</f>
        <v>64</v>
      </c>
      <c r="T57" s="258"/>
      <c r="U57" s="259">
        <f ca="1">IF(OR($H23="",S$15=""),"",IF($I57="念",VLOOKUP("念じボール",敵技,6,0),IF($I57="叩",VLOOKUP("叩きつける",敵技,6,0),0))+MAX(1,ROUNDDOWN(IF(S$9="あり",0.5,IF(S$9="大防御",0.1,1))*ROUNDDOWN((ROUNDDOWN((計算!$I11-ROUNDDOWN((計算!$AG$6+MAX(-(計算!$AG$6),MIN(200,(ROUNDDOWN(計算!$AG$6/2,0)*S$10+ROUNDDOWN(計算!$AG$6/4,0)*S$11))))/2,0))/2,0)+(1+ROUNDDOWN(ROUNDDOWN((計算!$I11-ROUNDDOWN((計算!$AG$6+MAX(-(計算!$AG$6),MIN(200,(ROUNDDOWN(計算!$AG$6/2,0)*S$10+ROUNDDOWN(計算!$AG$6/4,0)*S$11))))/2,0))/2,0)/16,0)))/2,0),0)))</f>
        <v>73</v>
      </c>
      <c r="V57" s="260"/>
      <c r="W57" s="257">
        <f ca="1">IF(OR($H23="",W$15=""),"",IF($I57="念",VLOOKUP("念じボール",敵技,6,0),IF($I57="叩",VLOOKUP("叩きつける",敵技,6,0),0))+MAX(0,ROUNDDOWN(IF(W$9="あり",0.5,IF(W$9="大防御",0.1,1))*ROUNDDOWN((ROUNDDOWN((計算!$I11-ROUNDDOWN((計算!$AG$7+MAX(-(計算!$AG$7),MIN(200,(ROUNDDOWN(計算!$AG$7/2,0)*W$10+ROUNDDOWN(計算!$AG$7/4,0)*W$11))))/2,0))/2,0)-(1+ROUNDDOWN(ROUNDDOWN((計算!$I11-ROUNDDOWN((計算!$AG$7+MAX(-(計算!$AG$7),MIN(200,(ROUNDDOWN(計算!$AG$7/2,0)*W$10+ROUNDDOWN(計算!$AG$7/4,0)*W$11))))/2,0))/2,0)/16,0)))/2,0),0)))</f>
        <v>71</v>
      </c>
      <c r="X57" s="258"/>
      <c r="Y57" s="259">
        <f ca="1">IF(OR($H23="",W$15=""),"",IF($I57="念",VLOOKUP("念じボール",敵技,6,0),IF($I57="叩",VLOOKUP("叩きつける",敵技,6,0),0))+MAX(1,ROUNDDOWN(IF(W$9="あり",0.5,IF(W$9="大防御",0.1,1))*ROUNDDOWN((ROUNDDOWN((計算!$I11-ROUNDDOWN((計算!$AG$7+MAX(-(計算!$AG$7),MIN(200,(ROUNDDOWN(計算!$AG$7/2,0)*W$10+ROUNDDOWN(計算!$AG$7/4,0)*W$11))))/2,0))/2,0)+(1+ROUNDDOWN(ROUNDDOWN((計算!$I11-ROUNDDOWN((計算!$AG$7+MAX(-(計算!$AG$7),MIN(200,(ROUNDDOWN(計算!$AG$7/2,0)*W$10+ROUNDDOWN(計算!$AG$7/4,0)*W$11))))/2,0))/2,0)/16,0)))/2,0),0)))</f>
        <v>81</v>
      </c>
      <c r="Z57" s="260"/>
      <c r="AA57" s="257">
        <f ca="1">IF(OR($H23="",AA$15=""),"",IF($I57="念",VLOOKUP("念じボール",敵技,6,0),IF($I57="叩",VLOOKUP("叩きつける",敵技,6,0),0))+MAX(0,ROUNDDOWN(IF(AA$9="あり",0.5,IF(AA$9="大防御",0.1,1))*ROUNDDOWN((ROUNDDOWN((計算!$I11-ROUNDDOWN((計算!$AG$8+MAX(-(計算!$AG$8),MIN(200,(ROUNDDOWN(計算!$AG$8/2,0)*AA$10+ROUNDDOWN(計算!$AG$8/4,0)*AA$11))))/2,0))/2,0)-(1+ROUNDDOWN(ROUNDDOWN((計算!$I11-ROUNDDOWN((計算!$AG$8+MAX(-(計算!$AG$8),MIN(200,(ROUNDDOWN(計算!$AG$8/2,0)*AA$10+ROUNDDOWN(計算!$AG$8/4,0)*AA$11))))/2,0))/2,0)/16,0)))/2,0),0)))</f>
        <v>66</v>
      </c>
      <c r="AB57" s="258"/>
      <c r="AC57" s="259">
        <f ca="1">IF(OR($H23="",AA$15=""),"",IF($I57="念",VLOOKUP("念じボール",敵技,6,0),IF($I57="叩",VLOOKUP("叩きつける",敵技,6,0),0))+MAX(1,ROUNDDOWN(IF(AA$9="あり",0.5,IF(AA$9="大防御",0.1,1))*ROUNDDOWN((ROUNDDOWN((計算!$I11-ROUNDDOWN((計算!$AG$8+MAX(-(計算!$AG$8),MIN(200,(ROUNDDOWN(計算!$AG$8/2,0)*AA$10+ROUNDDOWN(計算!$AG$8/4,0)*AA$11))))/2,0))/2,0)+(1+ROUNDDOWN(ROUNDDOWN((計算!$I11-ROUNDDOWN((計算!$AG$8+MAX(-(計算!$AG$8),MIN(200,(ROUNDDOWN(計算!$AG$8/2,0)*AA$10+ROUNDDOWN(計算!$AG$8/4,0)*AA$11))))/2,0))/2,0)/16,0)))/2,0),0)))</f>
        <v>75</v>
      </c>
      <c r="AD57" s="260"/>
      <c r="AE57" s="257">
        <f ca="1">IF(OR($H23="",AE$15=""),"",IF($I57="念",VLOOKUP("念じボール",敵技,6,0),IF($I57="叩",VLOOKUP("叩きつける",敵技,6,0),0))+MAX(0,ROUNDDOWN(IF(AE$9="あり",0.5,IF(AE$9="大防御",0.1,1))*ROUNDDOWN((ROUNDDOWN((計算!$I11-ROUNDDOWN((計算!$AG$9+MAX(-(計算!$AG$9),MIN(200,(ROUNDDOWN(計算!$AG$9/2,0)*AE$10+ROUNDDOWN(計算!$AG$9/4,0)*AE$11))))/2,0))/2,0)-(1+ROUNDDOWN(ROUNDDOWN((計算!$I11-ROUNDDOWN((計算!$AG$9+MAX(-(計算!$AG$9),MIN(200,(ROUNDDOWN(計算!$AG$9/2,0)*AE$10+ROUNDDOWN(計算!$AG$9/4,0)*AE$11))))/2,0))/2,0)/16,0)))/2,0),0)))</f>
        <v>61</v>
      </c>
      <c r="AF57" s="258"/>
      <c r="AG57" s="259">
        <f ca="1">IF(OR($H23="",AE$15=""),"",IF($I57="念",VLOOKUP("念じボール",敵技,6,0),IF($I57="叩",VLOOKUP("叩きつける",敵技,6,0),0))+MAX(1,ROUNDDOWN(IF(AE$9="あり",0.5,IF(AE$9="大防御",0.1,1))*ROUNDDOWN((ROUNDDOWN((計算!$I11-ROUNDDOWN((計算!$AG$9+MAX(-(計算!$AG$9),MIN(200,(ROUNDDOWN(計算!$AG$9/2,0)*AE$10+ROUNDDOWN(計算!$AG$9/4,0)*AE$11))))/2,0))/2,0)+(1+ROUNDDOWN(ROUNDDOWN((計算!$I11-ROUNDDOWN((計算!$AG$9+MAX(-(計算!$AG$9),MIN(200,(ROUNDDOWN(計算!$AG$9/2,0)*AE$10+ROUNDDOWN(計算!$AG$9/4,0)*AE$11))))/2,0))/2,0)/16,0)))/2,0),0)))</f>
        <v>70</v>
      </c>
      <c r="AH57" s="260"/>
      <c r="AI57" s="257">
        <f ca="1">IF(OR($H23="",AI$15=""),"",IF($I57="念",VLOOKUP("念じボール",敵技,6,0),IF($I57="叩",VLOOKUP("叩きつける",敵技,6,0),0))+MAX(0,ROUNDDOWN(IF(AI$9="あり",0.5,IF(AI$9="大防御",0.1,1))*ROUNDDOWN((ROUNDDOWN((計算!$I11-ROUNDDOWN((計算!$AG$10+MAX(-(計算!$AG$10),MIN(200,(ROUNDDOWN(計算!$AG$10/2,0)*AI$10+ROUNDDOWN(計算!$AG$10/4,0)*AI$11))))/2,0))/2,0)-(1+ROUNDDOWN(ROUNDDOWN((計算!$I11-ROUNDDOWN((計算!$AG$10+MAX(-(計算!$AG$10),MIN(200,(ROUNDDOWN(計算!$AG$10/2,0)*AI$10+ROUNDDOWN(計算!$AG$10/4,0)*AI$11))))/2,0))/2,0)/16,0)))/2,0),0)))</f>
        <v>51</v>
      </c>
      <c r="AJ57" s="258"/>
      <c r="AK57" s="259">
        <f ca="1">IF(OR($H23="",AI$15=""),"",IF($I57="念",VLOOKUP("念じボール",敵技,6,0),IF($I57="叩",VLOOKUP("叩きつける",敵技,6,0),0))+MAX(1,ROUNDDOWN(IF(AI$9="あり",0.5,IF(AI$9="大防御",0.1,1))*ROUNDDOWN((ROUNDDOWN((計算!$I11-ROUNDDOWN((計算!$AG$10+MAX(-(計算!$AG$10),MIN(200,(ROUNDDOWN(計算!$AG$10/2,0)*AI$10+ROUNDDOWN(計算!$AG$10/4,0)*AI$11))))/2,0))/2,0)+(1+ROUNDDOWN(ROUNDDOWN((計算!$I11-ROUNDDOWN((計算!$AG$10+MAX(-(計算!$AG$10),MIN(200,(ROUNDDOWN(計算!$AG$10/2,0)*AI$10+ROUNDDOWN(計算!$AG$10/4,0)*AI$11))))/2,0))/2,0)/16,0)))/2,0),0)))</f>
        <v>58</v>
      </c>
      <c r="AL57" s="260"/>
      <c r="AM57" s="257">
        <f ca="1">IF(OR($H23="",AM$15=""),"",IF($I57="念",VLOOKUP("念じボール",敵技,6,0),IF($I57="叩",VLOOKUP("叩きつける",敵技,6,0),0))+MAX(0,ROUNDDOWN(IF(AM$9="あり",0.5,IF(AM$9="大防御",0.1,1))*ROUNDDOWN((ROUNDDOWN((計算!$I11-ROUNDDOWN((計算!$AG$11+MAX(-(計算!$AG$11),MIN(200,(ROUNDDOWN(計算!$AG$11/2,0)*AM$10+ROUNDDOWN(計算!$AG$11/4,0)*AM$11))))/2,0))/2,0)-(1+ROUNDDOWN(ROUNDDOWN((計算!$I11-ROUNDDOWN((計算!$AG$11+MAX(-(計算!$AG$11),MIN(200,(ROUNDDOWN(計算!$AG$11/2,0)*AM$10+ROUNDDOWN(計算!$AG$11/4,0)*AM$11))))/2,0))/2,0)/16,0)))/2,0),0)))</f>
        <v>37</v>
      </c>
      <c r="AN57" s="258"/>
      <c r="AO57" s="259">
        <f ca="1">IF(OR($H23="",AM$15=""),"",IF($I57="念",VLOOKUP("念じボール",敵技,6,0),IF($I57="叩",VLOOKUP("叩きつける",敵技,6,0),0))+MAX(1,ROUNDDOWN(IF(AM$9="あり",0.5,IF(AM$9="大防御",0.1,1))*ROUNDDOWN((ROUNDDOWN((計算!$I11-ROUNDDOWN((計算!$AG$11+MAX(-(計算!$AG$11),MIN(200,(ROUNDDOWN(計算!$AG$11/2,0)*AM$10+ROUNDDOWN(計算!$AG$11/4,0)*AM$11))))/2,0))/2,0)+(1+ROUNDDOWN(ROUNDDOWN((計算!$I11-ROUNDDOWN((計算!$AG$11+MAX(-(計算!$AG$11),MIN(200,(ROUNDDOWN(計算!$AG$11/2,0)*AM$10+ROUNDDOWN(計算!$AG$11/4,0)*AM$11))))/2,0))/2,0)/16,0)))/2,0),0)))</f>
        <v>42</v>
      </c>
      <c r="AP57" s="260"/>
      <c r="AT57" s="98" t="str">
        <f t="shared" ca="1" si="121"/>
        <v>ドランゴ</v>
      </c>
      <c r="AU57" s="108" t="str">
        <f t="shared" ref="AU57:AV57" si="128">AU23</f>
        <v>なし</v>
      </c>
      <c r="AV57" s="108" t="str">
        <f t="shared" si="128"/>
        <v>物理</v>
      </c>
      <c r="AW57" s="290" t="str">
        <f t="shared" ca="1" si="104"/>
        <v/>
      </c>
      <c r="AX57" s="260"/>
      <c r="AY57" s="290" t="str">
        <f t="shared" ca="1" si="105"/>
        <v/>
      </c>
      <c r="AZ57" s="260"/>
      <c r="BA57" s="290" t="str">
        <f t="shared" ca="1" si="106"/>
        <v/>
      </c>
      <c r="BB57" s="260"/>
      <c r="BC57" s="290" t="str">
        <f t="shared" ca="1" si="107"/>
        <v/>
      </c>
      <c r="BD57" s="260"/>
      <c r="BE57" s="290" t="str">
        <f t="shared" ca="1" si="108"/>
        <v/>
      </c>
      <c r="BF57" s="260"/>
      <c r="BG57" s="290" t="str">
        <f t="shared" ca="1" si="109"/>
        <v/>
      </c>
      <c r="BH57" s="260"/>
      <c r="BI57" s="290" t="str">
        <f t="shared" ca="1" si="110"/>
        <v/>
      </c>
      <c r="BJ57" s="260"/>
      <c r="BK57" s="290" t="str">
        <f t="shared" ca="1" si="111"/>
        <v/>
      </c>
      <c r="BL57" s="260"/>
      <c r="BM57" s="290" t="str">
        <f t="shared" ca="1" si="112"/>
        <v/>
      </c>
      <c r="BN57" s="260"/>
      <c r="BO57" s="290" t="str">
        <f t="shared" ca="1" si="113"/>
        <v/>
      </c>
      <c r="BP57" s="260"/>
      <c r="BQ57" s="290" t="str">
        <f t="shared" ca="1" si="114"/>
        <v/>
      </c>
      <c r="BR57" s="260"/>
      <c r="BS57" s="290" t="str">
        <f t="shared" ca="1" si="115"/>
        <v/>
      </c>
      <c r="BT57" s="260"/>
      <c r="BU57" s="290" t="str">
        <f t="shared" ca="1" si="116"/>
        <v/>
      </c>
      <c r="BV57" s="260"/>
      <c r="BW57" s="290" t="str">
        <f t="shared" ca="1" si="117"/>
        <v/>
      </c>
      <c r="BX57" s="260"/>
      <c r="BY57" s="290" t="str">
        <f t="shared" ca="1" si="118"/>
        <v/>
      </c>
      <c r="BZ57" s="260"/>
      <c r="CA57" s="290" t="str">
        <f t="shared" ca="1" si="119"/>
        <v/>
      </c>
      <c r="CB57" s="260"/>
    </row>
    <row r="58" spans="2:80" x14ac:dyDescent="0.15">
      <c r="B58" s="9">
        <f t="shared" ca="1" si="0"/>
        <v>0</v>
      </c>
      <c r="C58" s="9">
        <f t="shared" ca="1" si="1"/>
        <v>0</v>
      </c>
      <c r="D58" s="9">
        <v>419</v>
      </c>
    </row>
    <row r="59" spans="2:80" x14ac:dyDescent="0.15">
      <c r="B59" s="9">
        <f t="shared" ca="1" si="0"/>
        <v>0</v>
      </c>
      <c r="C59" s="9">
        <f t="shared" ca="1" si="1"/>
        <v>0</v>
      </c>
      <c r="D59" s="9">
        <v>427</v>
      </c>
      <c r="H59" s="263" t="s">
        <v>631</v>
      </c>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row>
    <row r="60" spans="2:80" x14ac:dyDescent="0.15">
      <c r="B60" s="9">
        <f t="shared" ca="1" si="0"/>
        <v>0</v>
      </c>
      <c r="C60" s="9">
        <f t="shared" ca="1" si="1"/>
        <v>0</v>
      </c>
      <c r="D60" s="9">
        <v>435</v>
      </c>
      <c r="H60" s="270" t="s">
        <v>598</v>
      </c>
      <c r="I60" s="271"/>
      <c r="J60" s="272"/>
      <c r="K60" s="273">
        <f>IF(計算!P54="なし",0,IF(計算!P54="あり",1,IF(計算!P54="不気味",-1,0)))</f>
        <v>0</v>
      </c>
      <c r="L60" s="274"/>
      <c r="M60" s="274"/>
      <c r="N60" s="274"/>
      <c r="O60" s="273">
        <f>IF(計算!T54="なし",0,IF(計算!T54="あり",1,IF(計算!T54="不気味",-1,0)))</f>
        <v>0</v>
      </c>
      <c r="P60" s="274"/>
      <c r="Q60" s="274"/>
      <c r="R60" s="274"/>
      <c r="S60" s="273">
        <f>IF(計算!X54="なし",0,IF(計算!X54="あり",1,IF(計算!X54="不気味",-1,0)))</f>
        <v>0</v>
      </c>
      <c r="T60" s="274"/>
      <c r="U60" s="274"/>
      <c r="V60" s="274"/>
      <c r="W60" s="273">
        <f>IF(計算!AB54="なし",0,IF(計算!AB54="あり",1,IF(計算!AB54="不気味",-1,0)))</f>
        <v>0</v>
      </c>
      <c r="X60" s="274"/>
      <c r="Y60" s="274"/>
      <c r="Z60" s="274"/>
      <c r="AA60" s="273">
        <f>IF(計算!AF54="なし",0,IF(計算!AF54="あり",1,IF(計算!AF54="不気味",-1,0)))</f>
        <v>0</v>
      </c>
      <c r="AB60" s="274"/>
      <c r="AC60" s="274"/>
      <c r="AD60" s="274"/>
      <c r="AE60" s="273">
        <f>IF(計算!AJ54="なし",0,IF(計算!AJ54="あり",1,IF(計算!AJ54="不気味",-1,0)))</f>
        <v>0</v>
      </c>
      <c r="AF60" s="274"/>
      <c r="AG60" s="274"/>
      <c r="AH60" s="274"/>
      <c r="AI60" s="273">
        <f>IF(計算!AN54="なし",0,IF(計算!AN54="あり",1,IF(計算!AN54="不気味",-1,0)))</f>
        <v>0</v>
      </c>
      <c r="AJ60" s="274"/>
      <c r="AK60" s="274"/>
      <c r="AL60" s="274"/>
      <c r="AM60" s="273">
        <f>IF(計算!AR54="なし",0,IF(計算!AR54="あり",1,IF(計算!AR54="不気味",-1,0)))</f>
        <v>0</v>
      </c>
      <c r="AN60" s="274"/>
      <c r="AO60" s="274"/>
      <c r="AP60" s="274"/>
    </row>
    <row r="61" spans="2:80" x14ac:dyDescent="0.15">
      <c r="B61" s="9">
        <f t="shared" ca="1" si="0"/>
        <v>0</v>
      </c>
      <c r="C61" s="9">
        <f t="shared" ca="1" si="1"/>
        <v>0</v>
      </c>
      <c r="D61" s="9">
        <v>443</v>
      </c>
      <c r="H61" s="103" t="s">
        <v>449</v>
      </c>
      <c r="I61" s="105" t="s">
        <v>201</v>
      </c>
      <c r="J61" s="112" t="s">
        <v>579</v>
      </c>
      <c r="K61" s="264" t="str">
        <f ca="1">K$5</f>
        <v>主人公</v>
      </c>
      <c r="L61" s="265"/>
      <c r="M61" s="265"/>
      <c r="N61" s="266"/>
      <c r="O61" s="264" t="str">
        <f t="shared" ref="O61" ca="1" si="129">O$5</f>
        <v>ハッサン</v>
      </c>
      <c r="P61" s="265"/>
      <c r="Q61" s="265"/>
      <c r="R61" s="266"/>
      <c r="S61" s="264" t="str">
        <f t="shared" ref="S61" ca="1" si="130">S$5</f>
        <v>ミレーユ</v>
      </c>
      <c r="T61" s="265"/>
      <c r="U61" s="265"/>
      <c r="V61" s="266"/>
      <c r="W61" s="264" t="str">
        <f t="shared" ref="W61" ca="1" si="131">W$5</f>
        <v>バーバラ</v>
      </c>
      <c r="X61" s="265"/>
      <c r="Y61" s="265"/>
      <c r="Z61" s="266"/>
      <c r="AA61" s="264" t="str">
        <f t="shared" ref="AA61" ca="1" si="132">AA$5</f>
        <v>チャモロ</v>
      </c>
      <c r="AB61" s="265"/>
      <c r="AC61" s="265"/>
      <c r="AD61" s="266"/>
      <c r="AE61" s="264" t="str">
        <f t="shared" ref="AE61" ca="1" si="133">AE$5</f>
        <v>アモス</v>
      </c>
      <c r="AF61" s="265"/>
      <c r="AG61" s="265"/>
      <c r="AH61" s="266"/>
      <c r="AI61" s="264" t="str">
        <f t="shared" ref="AI61" ca="1" si="134">AI$5</f>
        <v>テリー</v>
      </c>
      <c r="AJ61" s="265"/>
      <c r="AK61" s="265"/>
      <c r="AL61" s="266"/>
      <c r="AM61" s="264" t="str">
        <f t="shared" ref="AM61" ca="1" si="135">AM$5</f>
        <v>ドランゴ</v>
      </c>
      <c r="AN61" s="265"/>
      <c r="AO61" s="265"/>
      <c r="AP61" s="266"/>
    </row>
    <row r="62" spans="2:80" x14ac:dyDescent="0.15">
      <c r="B62" s="9">
        <f t="shared" ca="1" si="0"/>
        <v>0</v>
      </c>
      <c r="C62" s="9">
        <f t="shared" ca="1" si="1"/>
        <v>0</v>
      </c>
      <c r="D62" s="9">
        <v>451</v>
      </c>
      <c r="H62" s="98" t="str">
        <f ca="1">$H5</f>
        <v>デスタムーア3</v>
      </c>
      <c r="I62" s="108" t="str">
        <f>IF(計算!F36="","",VLOOKUP(計算!F36,敵技,4,0))</f>
        <v>なし</v>
      </c>
      <c r="J62" s="106" t="str">
        <f>IF(計算!F36="","",VLOOKUP(計算!F36,敵技,5,0))</f>
        <v>無視</v>
      </c>
      <c r="K62" s="257">
        <f t="shared" ref="K62:K69" ca="1" si="136">IFERROR(IF($J62="燃",VLOOKUP("燃え盛る火炎",敵技,6,0),IF($J62="凍",VLOOKUP("凍てつく冷気",敵技,6,0),0))+ROUNDDOWN(IF(K$9="あり",0.5,IF(K$9="大防御",0.1,1))*MAX(0,(IF($J62="燃",VLOOKUP("燃え盛る火炎",敵技,2,0),IF($J62="凍",VLOOKUP("凍てつく冷気",敵技,2,0),1))-IFERROR(HLOOKUP($I16,味方耐性,K$12,0),0)))*K39,0),1)</f>
        <v>1</v>
      </c>
      <c r="L62" s="258"/>
      <c r="M62" s="257">
        <f ca="1">IFERROR(IF($J62="燃",VLOOKUP("燃え盛る火炎",敵技,6,0),IF($J62="凍",VLOOKUP("凍てつく冷気",敵技,6,0),0))+ROUNDDOWN(IF(M$9="あり",0.5,IF(M$9="大防御",0.1,1))*MAX(0,(IF($J62="燃",VLOOKUP("燃え盛る火炎",敵技,3,0),IF($J62="凍",VLOOKUP("凍てつく冷気",敵技,3,0),1))-IFERROR(HLOOKUP($I16,味方耐性,M$12,0),0)))*M39,0),1)</f>
        <v>1</v>
      </c>
      <c r="N62" s="258"/>
      <c r="O62" s="257">
        <f t="shared" ref="O62:O69" ca="1" si="137">IFERROR(IF($J62="燃",VLOOKUP("燃え盛る火炎",敵技,6,0),IF($J62="凍",VLOOKUP("凍てつく冷気",敵技,6,0),0))+ROUNDDOWN(IF(O$9="あり",0.5,IF(O$9="大防御",0.1,1))*MAX(0,(IF($J62="燃",VLOOKUP("燃え盛る火炎",敵技,2,0),IF($J62="凍",VLOOKUP("凍てつく冷気",敵技,2,0),1))-IFERROR(HLOOKUP($I16,味方耐性,O$12,0),0)))*O39,0),1)</f>
        <v>1</v>
      </c>
      <c r="P62" s="258"/>
      <c r="Q62" s="257">
        <f t="shared" ref="Q62:Q69" ca="1" si="138">IFERROR(IF($J62="燃",VLOOKUP("燃え盛る火炎",敵技,6,0),IF($J62="凍",VLOOKUP("凍てつく冷気",敵技,6,0),0))+ROUNDDOWN(IF(Q$9="あり",0.5,IF(Q$9="大防御",0.1,1))*MAX(0,(IF($J62="燃",VLOOKUP("燃え盛る火炎",敵技,3,0),IF($J62="凍",VLOOKUP("凍てつく冷気",敵技,3,0),1))-IFERROR(HLOOKUP($I16,味方耐性,Q$12,0),0)))*Q39,0),1)</f>
        <v>1</v>
      </c>
      <c r="R62" s="258"/>
      <c r="S62" s="257">
        <f t="shared" ref="S62:S69" ca="1" si="139">IFERROR(IF($J62="燃",VLOOKUP("燃え盛る火炎",敵技,6,0),IF($J62="凍",VLOOKUP("凍てつく冷気",敵技,6,0),0))+ROUNDDOWN(IF(S$9="あり",0.5,IF(S$9="大防御",0.1,1))*MAX(0,(IF($J62="燃",VLOOKUP("燃え盛る火炎",敵技,2,0),IF($J62="凍",VLOOKUP("凍てつく冷気",敵技,2,0),1))-IFERROR(HLOOKUP($I16,味方耐性,S$12,0),0)))*S39,0),1)</f>
        <v>1</v>
      </c>
      <c r="T62" s="258"/>
      <c r="U62" s="257">
        <f t="shared" ref="U62:U69" ca="1" si="140">IFERROR(IF($J62="燃",VLOOKUP("燃え盛る火炎",敵技,6,0),IF($J62="凍",VLOOKUP("凍てつく冷気",敵技,6,0),0))+ROUNDDOWN(IF(U$9="あり",0.5,IF(U$9="大防御",0.1,1))*MAX(0,(IF($J62="燃",VLOOKUP("燃え盛る火炎",敵技,3,0),IF($J62="凍",VLOOKUP("凍てつく冷気",敵技,3,0),1))-IFERROR(HLOOKUP($I16,味方耐性,U$12,0),0)))*U39,0),1)</f>
        <v>1</v>
      </c>
      <c r="V62" s="258"/>
      <c r="W62" s="257">
        <f t="shared" ref="W62:W69" ca="1" si="141">IFERROR(IF($J62="燃",VLOOKUP("燃え盛る火炎",敵技,6,0),IF($J62="凍",VLOOKUP("凍てつく冷気",敵技,6,0),0))+ROUNDDOWN(IF(W$9="あり",0.5,IF(W$9="大防御",0.1,1))*MAX(0,(IF($J62="燃",VLOOKUP("燃え盛る火炎",敵技,2,0),IF($J62="凍",VLOOKUP("凍てつく冷気",敵技,2,0),1))-IFERROR(HLOOKUP($I16,味方耐性,W$12,0),0)))*W39,0),1)</f>
        <v>1</v>
      </c>
      <c r="X62" s="258"/>
      <c r="Y62" s="257">
        <f t="shared" ref="Y62:Y69" ca="1" si="142">IFERROR(IF($J62="燃",VLOOKUP("燃え盛る火炎",敵技,6,0),IF($J62="凍",VLOOKUP("凍てつく冷気",敵技,6,0),0))+ROUNDDOWN(IF(Y$9="あり",0.5,IF(Y$9="大防御",0.1,1))*MAX(0,(IF($J62="燃",VLOOKUP("燃え盛る火炎",敵技,3,0),IF($J62="凍",VLOOKUP("凍てつく冷気",敵技,3,0),1))-IFERROR(HLOOKUP($I16,味方耐性,Y$12,0),0)))*Y39,0),1)</f>
        <v>1</v>
      </c>
      <c r="Z62" s="258"/>
      <c r="AA62" s="257">
        <f t="shared" ref="AA62:AA69" ca="1" si="143">IFERROR(IF($J62="燃",VLOOKUP("燃え盛る火炎",敵技,6,0),IF($J62="凍",VLOOKUP("凍てつく冷気",敵技,6,0),0))+ROUNDDOWN(IF(AA$9="あり",0.5,IF(AA$9="大防御",0.1,1))*MAX(0,(IF($J62="燃",VLOOKUP("燃え盛る火炎",敵技,2,0),IF($J62="凍",VLOOKUP("凍てつく冷気",敵技,2,0),1))-IFERROR(HLOOKUP($I16,味方耐性,AA$12,0),0)))*AA39,0),1)</f>
        <v>1</v>
      </c>
      <c r="AB62" s="258"/>
      <c r="AC62" s="257">
        <f t="shared" ref="AC62:AC69" ca="1" si="144">IFERROR(IF($J62="燃",VLOOKUP("燃え盛る火炎",敵技,6,0),IF($J62="凍",VLOOKUP("凍てつく冷気",敵技,6,0),0))+ROUNDDOWN(IF(AC$9="あり",0.5,IF(AC$9="大防御",0.1,1))*MAX(0,(IF($J62="燃",VLOOKUP("燃え盛る火炎",敵技,3,0),IF($J62="凍",VLOOKUP("凍てつく冷気",敵技,3,0),1))-IFERROR(HLOOKUP($I16,味方耐性,AC$12,0),0)))*AC39,0),1)</f>
        <v>1</v>
      </c>
      <c r="AD62" s="258"/>
      <c r="AE62" s="257">
        <f t="shared" ref="AE62:AE69" ca="1" si="145">IFERROR(IF($J62="燃",VLOOKUP("燃え盛る火炎",敵技,6,0),IF($J62="凍",VLOOKUP("凍てつく冷気",敵技,6,0),0))+ROUNDDOWN(IF(AE$9="あり",0.5,IF(AE$9="大防御",0.1,1))*MAX(0,(IF($J62="燃",VLOOKUP("燃え盛る火炎",敵技,2,0),IF($J62="凍",VLOOKUP("凍てつく冷気",敵技,2,0),1))-IFERROR(HLOOKUP($I16,味方耐性,AE$12,0),0)))*AE39,0),1)</f>
        <v>1</v>
      </c>
      <c r="AF62" s="258"/>
      <c r="AG62" s="257">
        <f t="shared" ref="AG62:AG69" ca="1" si="146">IFERROR(IF($J62="燃",VLOOKUP("燃え盛る火炎",敵技,6,0),IF($J62="凍",VLOOKUP("凍てつく冷気",敵技,6,0),0))+ROUNDDOWN(IF(AG$9="あり",0.5,IF(AG$9="大防御",0.1,1))*MAX(0,(IF($J62="燃",VLOOKUP("燃え盛る火炎",敵技,3,0),IF($J62="凍",VLOOKUP("凍てつく冷気",敵技,3,0),1))-IFERROR(HLOOKUP($I16,味方耐性,AG$12,0),0)))*AG39,0),1)</f>
        <v>1</v>
      </c>
      <c r="AH62" s="258"/>
      <c r="AI62" s="257">
        <f t="shared" ref="AI62:AI69" ca="1" si="147">IFERROR(IF($J62="燃",VLOOKUP("燃え盛る火炎",敵技,6,0),IF($J62="凍",VLOOKUP("凍てつく冷気",敵技,6,0),0))+ROUNDDOWN(IF(AI$9="あり",0.5,IF(AI$9="大防御",0.1,1))*MAX(0,(IF($J62="燃",VLOOKUP("燃え盛る火炎",敵技,2,0),IF($J62="凍",VLOOKUP("凍てつく冷気",敵技,2,0),1))-IFERROR(HLOOKUP($I16,味方耐性,AI$12,0),0)))*AI39,0),1)</f>
        <v>1</v>
      </c>
      <c r="AJ62" s="258"/>
      <c r="AK62" s="257">
        <f t="shared" ref="AK62:AK69" ca="1" si="148">IFERROR(IF($J62="燃",VLOOKUP("燃え盛る火炎",敵技,6,0),IF($J62="凍",VLOOKUP("凍てつく冷気",敵技,6,0),0))+ROUNDDOWN(IF(AK$9="あり",0.5,IF(AK$9="大防御",0.1,1))*MAX(0,(IF($J62="燃",VLOOKUP("燃え盛る火炎",敵技,3,0),IF($J62="凍",VLOOKUP("凍てつく冷気",敵技,3,0),1))-IFERROR(HLOOKUP($I16,味方耐性,AK$12,0),0)))*AK39,0),1)</f>
        <v>1</v>
      </c>
      <c r="AL62" s="258"/>
      <c r="AM62" s="257">
        <f t="shared" ref="AM62:AM69" ca="1" si="149">IFERROR(IF($J62="燃",VLOOKUP("燃え盛る火炎",敵技,6,0),IF($J62="凍",VLOOKUP("凍てつく冷気",敵技,6,0),0))+ROUNDDOWN(IF(AM$9="あり",0.5,IF(AM$9="大防御",0.1,1))*MAX(0,(IF($J62="燃",VLOOKUP("燃え盛る火炎",敵技,2,0),IF($J62="凍",VLOOKUP("凍てつく冷気",敵技,2,0),1))-IFERROR(HLOOKUP($I16,味方耐性,AM$12,0),0)))*AM39,0),1)</f>
        <v>1</v>
      </c>
      <c r="AN62" s="258"/>
      <c r="AO62" s="257">
        <f t="shared" ref="AO62:AO69" ca="1" si="150">IFERROR(IF($J62="燃",VLOOKUP("燃え盛る火炎",敵技,6,0),IF($J62="凍",VLOOKUP("凍てつく冷気",敵技,6,0),0))+ROUNDDOWN(IF(AO$9="あり",0.5,IF(AO$9="大防御",0.1,1))*MAX(0,(IF($J62="燃",VLOOKUP("燃え盛る火炎",敵技,3,0),IF($J62="凍",VLOOKUP("凍てつく冷気",敵技,3,0),1))-IFERROR(HLOOKUP($I16,味方耐性,AO$12,0),0)))*AO39,0),1)</f>
        <v>1</v>
      </c>
      <c r="AP62" s="258"/>
    </row>
    <row r="63" spans="2:80" x14ac:dyDescent="0.15">
      <c r="B63" s="9">
        <f t="shared" ca="1" si="0"/>
        <v>0</v>
      </c>
      <c r="C63" s="9">
        <f t="shared" ca="1" si="1"/>
        <v>0</v>
      </c>
      <c r="D63" s="9">
        <v>459</v>
      </c>
      <c r="H63" s="98" t="str">
        <f t="shared" ref="H63:H69" ca="1" si="151">$H6</f>
        <v>デスタムーア3</v>
      </c>
      <c r="I63" s="108" t="str">
        <f>IF(計算!F37="","",VLOOKUP(計算!F37,敵技,4,0))</f>
        <v>メ</v>
      </c>
      <c r="J63" s="106" t="str">
        <f>IF(計算!F37="","",VLOOKUP(計算!F37,敵技,5,0))</f>
        <v>中</v>
      </c>
      <c r="K63" s="257">
        <f t="shared" ca="1" si="136"/>
        <v>0</v>
      </c>
      <c r="L63" s="258"/>
      <c r="M63" s="257">
        <f t="shared" ref="M63:M69" ca="1" si="152">IFERROR(IF($J63="燃",VLOOKUP("燃え盛る火炎",敵技,6,0),IF($J63="凍",VLOOKUP("凍てつく冷気",敵技,6,0),0))+ROUNDDOWN(IF(M$9="あり",0.5,IF(M$9="大防御",0.1,1))*MAX(0,(IF($J63="燃",VLOOKUP("燃え盛る火炎",敵技,3,0),IF($J63="凍",VLOOKUP("凍てつく冷気",敵技,3,0),1))-IFERROR(HLOOKUP($I17,味方耐性,M$12,0),0)))*M40,0),1)</f>
        <v>0</v>
      </c>
      <c r="N63" s="258"/>
      <c r="O63" s="257">
        <f t="shared" ca="1" si="137"/>
        <v>0</v>
      </c>
      <c r="P63" s="258"/>
      <c r="Q63" s="257">
        <f t="shared" ca="1" si="138"/>
        <v>0</v>
      </c>
      <c r="R63" s="258"/>
      <c r="S63" s="257">
        <f t="shared" ca="1" si="139"/>
        <v>1</v>
      </c>
      <c r="T63" s="258"/>
      <c r="U63" s="257">
        <f t="shared" ca="1" si="140"/>
        <v>1</v>
      </c>
      <c r="V63" s="258"/>
      <c r="W63" s="257">
        <f t="shared" ca="1" si="141"/>
        <v>0</v>
      </c>
      <c r="X63" s="258"/>
      <c r="Y63" s="257">
        <f t="shared" ca="1" si="142"/>
        <v>0</v>
      </c>
      <c r="Z63" s="258"/>
      <c r="AA63" s="257">
        <f t="shared" ca="1" si="143"/>
        <v>1</v>
      </c>
      <c r="AB63" s="258"/>
      <c r="AC63" s="257">
        <f t="shared" ca="1" si="144"/>
        <v>1</v>
      </c>
      <c r="AD63" s="258"/>
      <c r="AE63" s="257">
        <f t="shared" ca="1" si="145"/>
        <v>0</v>
      </c>
      <c r="AF63" s="258"/>
      <c r="AG63" s="257">
        <f t="shared" ca="1" si="146"/>
        <v>0</v>
      </c>
      <c r="AH63" s="258"/>
      <c r="AI63" s="257">
        <f t="shared" ca="1" si="147"/>
        <v>0</v>
      </c>
      <c r="AJ63" s="258"/>
      <c r="AK63" s="257">
        <f t="shared" ca="1" si="148"/>
        <v>0</v>
      </c>
      <c r="AL63" s="258"/>
      <c r="AM63" s="257">
        <f t="shared" ca="1" si="149"/>
        <v>0</v>
      </c>
      <c r="AN63" s="258"/>
      <c r="AO63" s="257">
        <f t="shared" ca="1" si="150"/>
        <v>0</v>
      </c>
      <c r="AP63" s="258"/>
    </row>
    <row r="64" spans="2:80" ht="13.5" customHeight="1" x14ac:dyDescent="0.15">
      <c r="B64" s="9">
        <f t="shared" ca="1" si="0"/>
        <v>0</v>
      </c>
      <c r="C64" s="9">
        <f t="shared" ca="1" si="1"/>
        <v>0</v>
      </c>
      <c r="D64" s="9">
        <v>467</v>
      </c>
      <c r="H64" s="98" t="str">
        <f t="shared" ca="1" si="151"/>
        <v>デスタムーア3</v>
      </c>
      <c r="I64" s="108" t="str">
        <f>IF(計算!F38="","",VLOOKUP(計算!F38,敵技,4,0))</f>
        <v>雪</v>
      </c>
      <c r="J64" s="106" t="str">
        <f>IF(計算!F38="","",VLOOKUP(計算!F38,敵技,5,0))</f>
        <v>高</v>
      </c>
      <c r="K64" s="257">
        <f t="shared" ca="1" si="136"/>
        <v>0</v>
      </c>
      <c r="L64" s="258"/>
      <c r="M64" s="257">
        <f t="shared" ca="1" si="152"/>
        <v>0</v>
      </c>
      <c r="N64" s="258"/>
      <c r="O64" s="257">
        <f t="shared" ca="1" si="137"/>
        <v>1</v>
      </c>
      <c r="P64" s="258"/>
      <c r="Q64" s="257">
        <f t="shared" ca="1" si="138"/>
        <v>1</v>
      </c>
      <c r="R64" s="258"/>
      <c r="S64" s="257">
        <f t="shared" ca="1" si="139"/>
        <v>1</v>
      </c>
      <c r="T64" s="258"/>
      <c r="U64" s="257">
        <f t="shared" ca="1" si="140"/>
        <v>1</v>
      </c>
      <c r="V64" s="258"/>
      <c r="W64" s="257">
        <f t="shared" ca="1" si="141"/>
        <v>1</v>
      </c>
      <c r="X64" s="258"/>
      <c r="Y64" s="257">
        <f t="shared" ca="1" si="142"/>
        <v>1</v>
      </c>
      <c r="Z64" s="258"/>
      <c r="AA64" s="257">
        <f t="shared" ca="1" si="143"/>
        <v>1</v>
      </c>
      <c r="AB64" s="258"/>
      <c r="AC64" s="257">
        <f t="shared" ca="1" si="144"/>
        <v>1</v>
      </c>
      <c r="AD64" s="258"/>
      <c r="AE64" s="257">
        <f t="shared" ca="1" si="145"/>
        <v>0</v>
      </c>
      <c r="AF64" s="258"/>
      <c r="AG64" s="257">
        <f t="shared" ca="1" si="146"/>
        <v>0</v>
      </c>
      <c r="AH64" s="258"/>
      <c r="AI64" s="257">
        <f t="shared" ca="1" si="147"/>
        <v>0</v>
      </c>
      <c r="AJ64" s="258"/>
      <c r="AK64" s="257">
        <f t="shared" ca="1" si="148"/>
        <v>0</v>
      </c>
      <c r="AL64" s="258"/>
      <c r="AM64" s="257">
        <f t="shared" ca="1" si="149"/>
        <v>0</v>
      </c>
      <c r="AN64" s="258"/>
      <c r="AO64" s="257">
        <f t="shared" ca="1" si="150"/>
        <v>0</v>
      </c>
      <c r="AP64" s="258"/>
      <c r="AV64" s="141"/>
      <c r="AW64" s="141"/>
      <c r="AX64" s="141"/>
      <c r="AY64" s="141"/>
    </row>
    <row r="65" spans="2:42" x14ac:dyDescent="0.15">
      <c r="B65" s="9">
        <f t="shared" ca="1" si="0"/>
        <v>0</v>
      </c>
      <c r="C65" s="9">
        <f t="shared" ca="1" si="1"/>
        <v>0</v>
      </c>
      <c r="D65" s="9">
        <v>475</v>
      </c>
      <c r="H65" s="98" t="str">
        <f t="shared" ca="1" si="151"/>
        <v>デスタムーア3</v>
      </c>
      <c r="I65" s="108" t="str">
        <f>IF(計算!F39="","",VLOOKUP(計算!F39,敵技,4,0))</f>
        <v>イ</v>
      </c>
      <c r="J65" s="106" t="str">
        <f>IF(計算!F39="","",VLOOKUP(計算!F39,敵技,5,0))</f>
        <v>中</v>
      </c>
      <c r="K65" s="257">
        <f t="shared" ca="1" si="136"/>
        <v>0</v>
      </c>
      <c r="L65" s="258"/>
      <c r="M65" s="257">
        <f t="shared" ca="1" si="152"/>
        <v>0</v>
      </c>
      <c r="N65" s="258"/>
      <c r="O65" s="257">
        <f t="shared" ca="1" si="137"/>
        <v>0</v>
      </c>
      <c r="P65" s="258"/>
      <c r="Q65" s="257">
        <f t="shared" ca="1" si="138"/>
        <v>0</v>
      </c>
      <c r="R65" s="258"/>
      <c r="S65" s="257">
        <f t="shared" ca="1" si="139"/>
        <v>1</v>
      </c>
      <c r="T65" s="258"/>
      <c r="U65" s="257">
        <f t="shared" ca="1" si="140"/>
        <v>1</v>
      </c>
      <c r="V65" s="258"/>
      <c r="W65" s="257">
        <f t="shared" ca="1" si="141"/>
        <v>0</v>
      </c>
      <c r="X65" s="258"/>
      <c r="Y65" s="257">
        <f t="shared" ca="1" si="142"/>
        <v>0</v>
      </c>
      <c r="Z65" s="258"/>
      <c r="AA65" s="257">
        <f t="shared" ca="1" si="143"/>
        <v>1</v>
      </c>
      <c r="AB65" s="258"/>
      <c r="AC65" s="257">
        <f t="shared" ca="1" si="144"/>
        <v>1</v>
      </c>
      <c r="AD65" s="258"/>
      <c r="AE65" s="257">
        <f t="shared" ca="1" si="145"/>
        <v>0</v>
      </c>
      <c r="AF65" s="258"/>
      <c r="AG65" s="257">
        <f t="shared" ca="1" si="146"/>
        <v>0</v>
      </c>
      <c r="AH65" s="258"/>
      <c r="AI65" s="257">
        <f t="shared" ca="1" si="147"/>
        <v>0</v>
      </c>
      <c r="AJ65" s="258"/>
      <c r="AK65" s="257">
        <f t="shared" ca="1" si="148"/>
        <v>0</v>
      </c>
      <c r="AL65" s="258"/>
      <c r="AM65" s="257">
        <f t="shared" ca="1" si="149"/>
        <v>0</v>
      </c>
      <c r="AN65" s="258"/>
      <c r="AO65" s="257">
        <f t="shared" ca="1" si="150"/>
        <v>0</v>
      </c>
      <c r="AP65" s="258"/>
    </row>
    <row r="66" spans="2:42" x14ac:dyDescent="0.15">
      <c r="B66" s="9">
        <f t="shared" ca="1" si="0"/>
        <v>0</v>
      </c>
      <c r="C66" s="9">
        <f t="shared" ca="1" si="1"/>
        <v>0</v>
      </c>
      <c r="D66" s="9">
        <v>483</v>
      </c>
      <c r="H66" s="98" t="str">
        <f t="shared" ca="1" si="151"/>
        <v>デスタムーア3</v>
      </c>
      <c r="I66" s="108" t="str">
        <f>IF(計算!F40="","",VLOOKUP(計算!F40,敵技,4,0))</f>
        <v>炎</v>
      </c>
      <c r="J66" s="106" t="str">
        <f>IF(計算!F40="","",VLOOKUP(計算!F40,敵技,5,0))</f>
        <v>高</v>
      </c>
      <c r="K66" s="257">
        <f t="shared" ca="1" si="136"/>
        <v>0</v>
      </c>
      <c r="L66" s="258"/>
      <c r="M66" s="257">
        <f t="shared" ca="1" si="152"/>
        <v>0</v>
      </c>
      <c r="N66" s="258"/>
      <c r="O66" s="257">
        <f t="shared" ca="1" si="137"/>
        <v>0</v>
      </c>
      <c r="P66" s="258"/>
      <c r="Q66" s="257">
        <f t="shared" ca="1" si="138"/>
        <v>0</v>
      </c>
      <c r="R66" s="258"/>
      <c r="S66" s="257">
        <f t="shared" ca="1" si="139"/>
        <v>1</v>
      </c>
      <c r="T66" s="258"/>
      <c r="U66" s="257">
        <f t="shared" ca="1" si="140"/>
        <v>1</v>
      </c>
      <c r="V66" s="258"/>
      <c r="W66" s="257">
        <f t="shared" ca="1" si="141"/>
        <v>1</v>
      </c>
      <c r="X66" s="258"/>
      <c r="Y66" s="257">
        <f t="shared" ca="1" si="142"/>
        <v>1</v>
      </c>
      <c r="Z66" s="258"/>
      <c r="AA66" s="257">
        <f t="shared" ca="1" si="143"/>
        <v>1</v>
      </c>
      <c r="AB66" s="258"/>
      <c r="AC66" s="257">
        <f t="shared" ca="1" si="144"/>
        <v>1</v>
      </c>
      <c r="AD66" s="258"/>
      <c r="AE66" s="257">
        <f t="shared" ca="1" si="145"/>
        <v>1</v>
      </c>
      <c r="AF66" s="258"/>
      <c r="AG66" s="257">
        <f t="shared" ca="1" si="146"/>
        <v>1</v>
      </c>
      <c r="AH66" s="258"/>
      <c r="AI66" s="257">
        <f t="shared" ca="1" si="147"/>
        <v>0</v>
      </c>
      <c r="AJ66" s="258"/>
      <c r="AK66" s="257">
        <f t="shared" ca="1" si="148"/>
        <v>0</v>
      </c>
      <c r="AL66" s="258"/>
      <c r="AM66" s="257">
        <f t="shared" ca="1" si="149"/>
        <v>0</v>
      </c>
      <c r="AN66" s="258"/>
      <c r="AO66" s="257">
        <f t="shared" ca="1" si="150"/>
        <v>0</v>
      </c>
      <c r="AP66" s="258"/>
    </row>
    <row r="67" spans="2:42" x14ac:dyDescent="0.15">
      <c r="B67" s="9">
        <f t="shared" ca="1" si="0"/>
        <v>0</v>
      </c>
      <c r="C67" s="9">
        <f t="shared" ca="1" si="1"/>
        <v>0</v>
      </c>
      <c r="D67" s="9">
        <v>491</v>
      </c>
      <c r="H67" s="98" t="str">
        <f t="shared" ca="1" si="151"/>
        <v>ひだりて</v>
      </c>
      <c r="I67" s="108" t="str">
        <f>IF(計算!F41="","",VLOOKUP(計算!F41,敵技,4,0))</f>
        <v>叩</v>
      </c>
      <c r="J67" s="106" t="str">
        <f>IF(計算!F41="","",VLOOKUP(計算!F41,敵技,5,0))</f>
        <v>物理</v>
      </c>
      <c r="K67" s="257">
        <f t="shared" ca="1" si="136"/>
        <v>1</v>
      </c>
      <c r="L67" s="258"/>
      <c r="M67" s="257">
        <f t="shared" ca="1" si="152"/>
        <v>1</v>
      </c>
      <c r="N67" s="258"/>
      <c r="O67" s="257">
        <f t="shared" ca="1" si="137"/>
        <v>1</v>
      </c>
      <c r="P67" s="258"/>
      <c r="Q67" s="257">
        <f t="shared" ca="1" si="138"/>
        <v>1</v>
      </c>
      <c r="R67" s="258"/>
      <c r="S67" s="257">
        <f t="shared" ca="1" si="139"/>
        <v>1</v>
      </c>
      <c r="T67" s="258"/>
      <c r="U67" s="257">
        <f t="shared" ca="1" si="140"/>
        <v>1</v>
      </c>
      <c r="V67" s="258"/>
      <c r="W67" s="257">
        <f t="shared" ca="1" si="141"/>
        <v>1</v>
      </c>
      <c r="X67" s="258"/>
      <c r="Y67" s="257">
        <f t="shared" ca="1" si="142"/>
        <v>1</v>
      </c>
      <c r="Z67" s="258"/>
      <c r="AA67" s="257">
        <f t="shared" ca="1" si="143"/>
        <v>1</v>
      </c>
      <c r="AB67" s="258"/>
      <c r="AC67" s="257">
        <f t="shared" ca="1" si="144"/>
        <v>1</v>
      </c>
      <c r="AD67" s="258"/>
      <c r="AE67" s="257">
        <f t="shared" ca="1" si="145"/>
        <v>1</v>
      </c>
      <c r="AF67" s="258"/>
      <c r="AG67" s="257">
        <f t="shared" ca="1" si="146"/>
        <v>1</v>
      </c>
      <c r="AH67" s="258"/>
      <c r="AI67" s="257">
        <f t="shared" ca="1" si="147"/>
        <v>1</v>
      </c>
      <c r="AJ67" s="258"/>
      <c r="AK67" s="257">
        <f t="shared" ca="1" si="148"/>
        <v>1</v>
      </c>
      <c r="AL67" s="258"/>
      <c r="AM67" s="257">
        <f t="shared" ca="1" si="149"/>
        <v>1</v>
      </c>
      <c r="AN67" s="258"/>
      <c r="AO67" s="257">
        <f t="shared" ca="1" si="150"/>
        <v>1</v>
      </c>
      <c r="AP67" s="258"/>
    </row>
    <row r="68" spans="2:42" x14ac:dyDescent="0.15">
      <c r="B68" s="9">
        <f t="shared" ca="1" si="0"/>
        <v>0</v>
      </c>
      <c r="C68" s="9">
        <f t="shared" ca="1" si="1"/>
        <v>0</v>
      </c>
      <c r="D68" s="9">
        <v>499</v>
      </c>
      <c r="H68" s="98" t="str">
        <f t="shared" ca="1" si="151"/>
        <v>みぎて</v>
      </c>
      <c r="I68" s="108" t="str">
        <f>IF(計算!F42="","",VLOOKUP(計算!F42,敵技,4,0))</f>
        <v>叩</v>
      </c>
      <c r="J68" s="106" t="str">
        <f>IF(計算!F42="","",VLOOKUP(計算!F42,敵技,5,0))</f>
        <v>物理</v>
      </c>
      <c r="K68" s="257">
        <f t="shared" ca="1" si="136"/>
        <v>1</v>
      </c>
      <c r="L68" s="258"/>
      <c r="M68" s="257">
        <f t="shared" ca="1" si="152"/>
        <v>1</v>
      </c>
      <c r="N68" s="258"/>
      <c r="O68" s="257">
        <f t="shared" ca="1" si="137"/>
        <v>1</v>
      </c>
      <c r="P68" s="258"/>
      <c r="Q68" s="257">
        <f t="shared" ca="1" si="138"/>
        <v>1</v>
      </c>
      <c r="R68" s="258"/>
      <c r="S68" s="257">
        <f t="shared" ca="1" si="139"/>
        <v>1</v>
      </c>
      <c r="T68" s="258"/>
      <c r="U68" s="257">
        <f t="shared" ca="1" si="140"/>
        <v>1</v>
      </c>
      <c r="V68" s="258"/>
      <c r="W68" s="257">
        <f t="shared" ca="1" si="141"/>
        <v>1</v>
      </c>
      <c r="X68" s="258"/>
      <c r="Y68" s="257">
        <f t="shared" ca="1" si="142"/>
        <v>1</v>
      </c>
      <c r="Z68" s="258"/>
      <c r="AA68" s="257">
        <f t="shared" ca="1" si="143"/>
        <v>1</v>
      </c>
      <c r="AB68" s="258"/>
      <c r="AC68" s="257">
        <f t="shared" ca="1" si="144"/>
        <v>1</v>
      </c>
      <c r="AD68" s="258"/>
      <c r="AE68" s="257">
        <f t="shared" ca="1" si="145"/>
        <v>1</v>
      </c>
      <c r="AF68" s="258"/>
      <c r="AG68" s="257">
        <f t="shared" ca="1" si="146"/>
        <v>1</v>
      </c>
      <c r="AH68" s="258"/>
      <c r="AI68" s="257">
        <f t="shared" ca="1" si="147"/>
        <v>1</v>
      </c>
      <c r="AJ68" s="258"/>
      <c r="AK68" s="257">
        <f t="shared" ca="1" si="148"/>
        <v>1</v>
      </c>
      <c r="AL68" s="258"/>
      <c r="AM68" s="257">
        <f t="shared" ca="1" si="149"/>
        <v>1</v>
      </c>
      <c r="AN68" s="258"/>
      <c r="AO68" s="257">
        <f t="shared" ca="1" si="150"/>
        <v>1</v>
      </c>
      <c r="AP68" s="258"/>
    </row>
    <row r="69" spans="2:42" x14ac:dyDescent="0.15">
      <c r="B69" s="9">
        <f t="shared" ca="1" si="0"/>
        <v>0</v>
      </c>
      <c r="C69" s="9">
        <f t="shared" ca="1" si="1"/>
        <v>0</v>
      </c>
      <c r="D69" s="9">
        <v>507</v>
      </c>
      <c r="H69" s="98" t="str">
        <f t="shared" ca="1" si="151"/>
        <v>みぎて</v>
      </c>
      <c r="I69" s="108" t="str">
        <f>IF(計算!F43="","",VLOOKUP(計算!F43,敵技,4,0))</f>
        <v>なし</v>
      </c>
      <c r="J69" s="106" t="str">
        <f>IF(計算!F43="","",VLOOKUP(計算!F43,敵技,5,0))</f>
        <v>物理</v>
      </c>
      <c r="K69" s="257">
        <f t="shared" ca="1" si="136"/>
        <v>1</v>
      </c>
      <c r="L69" s="258"/>
      <c r="M69" s="257">
        <f t="shared" ca="1" si="152"/>
        <v>1</v>
      </c>
      <c r="N69" s="258"/>
      <c r="O69" s="257">
        <f t="shared" ca="1" si="137"/>
        <v>1</v>
      </c>
      <c r="P69" s="258"/>
      <c r="Q69" s="257">
        <f t="shared" ca="1" si="138"/>
        <v>1</v>
      </c>
      <c r="R69" s="258"/>
      <c r="S69" s="257">
        <f t="shared" ca="1" si="139"/>
        <v>1</v>
      </c>
      <c r="T69" s="258"/>
      <c r="U69" s="257">
        <f t="shared" ca="1" si="140"/>
        <v>1</v>
      </c>
      <c r="V69" s="258"/>
      <c r="W69" s="257">
        <f t="shared" ca="1" si="141"/>
        <v>1</v>
      </c>
      <c r="X69" s="258"/>
      <c r="Y69" s="257">
        <f t="shared" ca="1" si="142"/>
        <v>1</v>
      </c>
      <c r="Z69" s="258"/>
      <c r="AA69" s="257">
        <f t="shared" ca="1" si="143"/>
        <v>1</v>
      </c>
      <c r="AB69" s="258"/>
      <c r="AC69" s="257">
        <f t="shared" ca="1" si="144"/>
        <v>1</v>
      </c>
      <c r="AD69" s="258"/>
      <c r="AE69" s="257">
        <f t="shared" ca="1" si="145"/>
        <v>1</v>
      </c>
      <c r="AF69" s="258"/>
      <c r="AG69" s="257">
        <f t="shared" ca="1" si="146"/>
        <v>1</v>
      </c>
      <c r="AH69" s="258"/>
      <c r="AI69" s="257">
        <f t="shared" ca="1" si="147"/>
        <v>1</v>
      </c>
      <c r="AJ69" s="258"/>
      <c r="AK69" s="257">
        <f t="shared" ca="1" si="148"/>
        <v>1</v>
      </c>
      <c r="AL69" s="258"/>
      <c r="AM69" s="257">
        <f t="shared" ca="1" si="149"/>
        <v>1</v>
      </c>
      <c r="AN69" s="258"/>
      <c r="AO69" s="257">
        <f t="shared" ca="1" si="150"/>
        <v>1</v>
      </c>
      <c r="AP69" s="258"/>
    </row>
    <row r="70" spans="2:42" x14ac:dyDescent="0.15">
      <c r="B70" s="9">
        <f t="shared" ca="1" si="0"/>
        <v>0</v>
      </c>
      <c r="C70" s="9">
        <f t="shared" ca="1" si="1"/>
        <v>0</v>
      </c>
      <c r="D70" s="9">
        <v>515</v>
      </c>
    </row>
    <row r="71" spans="2:42" x14ac:dyDescent="0.15">
      <c r="B71" s="9">
        <f t="shared" ref="B71:B105" ca="1" si="153">INDIRECT("基本ステータス!$C"&amp;$D71)</f>
        <v>0</v>
      </c>
      <c r="C71" s="9">
        <f t="shared" ref="C71:C105" ca="1" si="154">INDIRECT("基本ステータス!$B"&amp;$D71)</f>
        <v>0</v>
      </c>
      <c r="D71" s="9">
        <v>523</v>
      </c>
      <c r="H71" s="263" t="s">
        <v>671</v>
      </c>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row>
    <row r="72" spans="2:42" x14ac:dyDescent="0.15">
      <c r="B72" s="9">
        <f t="shared" ca="1" si="153"/>
        <v>0</v>
      </c>
      <c r="C72" s="9">
        <f t="shared" ca="1" si="154"/>
        <v>0</v>
      </c>
      <c r="D72" s="9">
        <v>531</v>
      </c>
      <c r="H72" s="116" t="s">
        <v>449</v>
      </c>
      <c r="I72" s="116" t="s">
        <v>201</v>
      </c>
      <c r="J72" s="116" t="s">
        <v>579</v>
      </c>
      <c r="K72" s="264" t="str">
        <f ca="1">K$5</f>
        <v>主人公</v>
      </c>
      <c r="L72" s="265"/>
      <c r="M72" s="265"/>
      <c r="N72" s="266"/>
      <c r="O72" s="264" t="str">
        <f ca="1">O$5</f>
        <v>ハッサン</v>
      </c>
      <c r="P72" s="265"/>
      <c r="Q72" s="265"/>
      <c r="R72" s="266"/>
      <c r="S72" s="264" t="str">
        <f t="shared" ref="S72" ca="1" si="155">S$5</f>
        <v>ミレーユ</v>
      </c>
      <c r="T72" s="265"/>
      <c r="U72" s="265"/>
      <c r="V72" s="266"/>
      <c r="W72" s="264" t="str">
        <f t="shared" ref="W72" ca="1" si="156">W$5</f>
        <v>バーバラ</v>
      </c>
      <c r="X72" s="265"/>
      <c r="Y72" s="265"/>
      <c r="Z72" s="266"/>
      <c r="AA72" s="264" t="str">
        <f t="shared" ref="AA72" ca="1" si="157">AA$5</f>
        <v>チャモロ</v>
      </c>
      <c r="AB72" s="265"/>
      <c r="AC72" s="265"/>
      <c r="AD72" s="266"/>
      <c r="AE72" s="264" t="str">
        <f t="shared" ref="AE72" ca="1" si="158">AE$5</f>
        <v>アモス</v>
      </c>
      <c r="AF72" s="265"/>
      <c r="AG72" s="265"/>
      <c r="AH72" s="266"/>
      <c r="AI72" s="264" t="str">
        <f t="shared" ref="AI72" ca="1" si="159">AI$5</f>
        <v>テリー</v>
      </c>
      <c r="AJ72" s="265"/>
      <c r="AK72" s="265"/>
      <c r="AL72" s="266"/>
      <c r="AM72" s="264" t="str">
        <f t="shared" ref="AM72" ca="1" si="160">AM$5</f>
        <v>ドランゴ</v>
      </c>
      <c r="AN72" s="265"/>
      <c r="AO72" s="265"/>
      <c r="AP72" s="266"/>
    </row>
    <row r="73" spans="2:42" x14ac:dyDescent="0.15">
      <c r="B73" s="9">
        <f t="shared" ca="1" si="153"/>
        <v>0</v>
      </c>
      <c r="C73" s="9">
        <f t="shared" ca="1" si="154"/>
        <v>0</v>
      </c>
      <c r="D73" s="9">
        <v>539</v>
      </c>
      <c r="H73" s="98" t="str">
        <f ca="1">$H5</f>
        <v>デスタムーア3</v>
      </c>
      <c r="I73" s="108" t="str">
        <f>IF(計算!F36="","",VLOOKUP(計算!F36,敵技,4,0))</f>
        <v>なし</v>
      </c>
      <c r="J73" s="106" t="str">
        <f>IF(計算!F36="","",VLOOKUP(計算!F36,敵技,5,0))</f>
        <v>無視</v>
      </c>
      <c r="K73" s="257">
        <f ca="1">IF(OR($H39="",K$15=""),"",IF($I73="念",VLOOKUP("念じボール",敵技,6,0),IF($I73="叩",VLOOKUP("叩きつける",敵技,6,0),0))+MAX(0,ROUNDDOWN(IF(K$9="あり",0.5,IF(K$9="大防御",0.1,1))*ROUNDDOWN((ROUNDDOWN((計算!$I28-ROUNDDOWN((計算!$AG$4+MAX(-(計算!$AG$4),MIN(200,(ROUNDDOWN(計算!$AG$4/2,0)*K$10+ROUNDDOWN(計算!$AG$4/4,0)*K$11))))/2,0))/2,0)-(1+ROUNDDOWN(ROUNDDOWN((計算!$I28-ROUNDDOWN((計算!$AG$4+MAX(-(計算!$AG$4),MIN(200,(ROUNDDOWN(計算!$AG$4/2,0)*K$10+ROUNDDOWN(計算!$AG$4/4,0)*K$11))))/2,0))/2,0)/16,0)))/2,0),0)))</f>
        <v>0</v>
      </c>
      <c r="L73" s="258"/>
      <c r="M73" s="259">
        <f ca="1">IF(OR($H39="",K$15=""),"",IF($I73="念",VLOOKUP("念じボール",敵技,6,0),IF($I73="叩",VLOOKUP("叩きつける",敵技,6,0),0))+MAX(1,ROUNDDOWN(IF(K$9="あり",0.5,IF(K$9="大防御",0.1,1))*ROUNDDOWN((ROUNDDOWN((計算!$I28-ROUNDDOWN((計算!$AG$4+MAX(-(計算!$AG$4),MIN(200,(ROUNDDOWN(計算!$AG$4/2,0)*K$10+ROUNDDOWN(計算!$AG$4/4,0)*K$11))))/2,0))/2,0)+(1+ROUNDDOWN(ROUNDDOWN((計算!$I28-ROUNDDOWN((計算!$AG$4+MAX(-(計算!$AG$4),MIN(200,(ROUNDDOWN(計算!$AG$4/2,0)*K$10+ROUNDDOWN(計算!$AG$4/4,0)*K$11))))/2,0))/2,0)/16,0)))/2,0),0)))</f>
        <v>1</v>
      </c>
      <c r="N73" s="260"/>
      <c r="O73" s="257">
        <f ca="1">IF(OR($H39="",O$15=""),"",IF($I73="念",VLOOKUP("念じボール",敵技,6,0),IF($I73="叩",VLOOKUP("叩きつける",敵技,6,0),0))+MAX(0,ROUNDDOWN(IF(O$9="あり",0.5,IF(O$9="大防御",0.1,1))*ROUNDDOWN((ROUNDDOWN((計算!$I28-ROUNDDOWN((計算!$AG$5+MAX(-(計算!$AG$5),MIN(200,(ROUNDDOWN(計算!$AG$5/2,0)*O$10+ROUNDDOWN(計算!$AG$5/4,0)*O$11))))/2,0))/2,0)-(1+ROUNDDOWN(ROUNDDOWN((計算!$I28-ROUNDDOWN((計算!$AG$5+MAX(-(計算!$AG$5),MIN(200,(ROUNDDOWN(計算!$AG$5/2,0)*O$10+ROUNDDOWN(計算!$AG$5/4,0)*O$11))))/2,0))/2,0)/16,0)))/2,0),0)))</f>
        <v>0</v>
      </c>
      <c r="P73" s="258"/>
      <c r="Q73" s="259">
        <f ca="1">IF(OR($H39="",O$15=""),"",IF($I73="念",VLOOKUP("念じボール",敵技,6,0),IF($I73="叩",VLOOKUP("叩きつける",敵技,6,0),0))+MAX(1,ROUNDDOWN(IF(O$9="あり",0.5,IF(O$9="大防御",0.1,1))*ROUNDDOWN((ROUNDDOWN((計算!$I28-ROUNDDOWN((計算!$AG$5+MAX(-(計算!$AG$5),MIN(200,(ROUNDDOWN(計算!$AG$5/2,0)*O$10+ROUNDDOWN(計算!$AG$5/4,0)*O$11))))/2,0))/2,0)+(1+ROUNDDOWN(ROUNDDOWN((計算!$I28-ROUNDDOWN((計算!$AG$5+MAX(-(計算!$AG$5),MIN(200,(ROUNDDOWN(計算!$AG$5/2,0)*O$10+ROUNDDOWN(計算!$AG$5/4,0)*O$11))))/2,0))/2,0)/16,0)))/2,0),0)))</f>
        <v>1</v>
      </c>
      <c r="R73" s="260"/>
      <c r="S73" s="257">
        <f ca="1">IF(OR($H39="",S$15=""),"",IF($I73="念",VLOOKUP("念じボール",敵技,6,0),IF($I73="叩",VLOOKUP("叩きつける",敵技,6,0),0))+MAX(0,ROUNDDOWN(IF(S$9="あり",0.5,IF(S$9="大防御",0.1,1))*ROUNDDOWN((ROUNDDOWN((計算!$I28-ROUNDDOWN((計算!$AG$6+MAX(-(計算!$AG$6),MIN(200,(ROUNDDOWN(計算!$AG$6/2,0)*S$10+ROUNDDOWN(計算!$AG$6/4,0)*S$11))))/2,0))/2,0)-(1+ROUNDDOWN(ROUNDDOWN((計算!$I28-ROUNDDOWN((計算!$AG$6+MAX(-(計算!$AG$6),MIN(200,(ROUNDDOWN(計算!$AG$6/2,0)*S$10+ROUNDDOWN(計算!$AG$6/4,0)*S$11))))/2,0))/2,0)/16,0)))/2,0),0)))</f>
        <v>0</v>
      </c>
      <c r="T73" s="258"/>
      <c r="U73" s="259">
        <f ca="1">IF(OR($H39="",S$15=""),"",IF($I73="念",VLOOKUP("念じボール",敵技,6,0),IF($I73="叩",VLOOKUP("叩きつける",敵技,6,0),0))+MAX(1,ROUNDDOWN(IF(S$9="あり",0.5,IF(S$9="大防御",0.1,1))*ROUNDDOWN((ROUNDDOWN((計算!$I28-ROUNDDOWN((計算!$AG$6+MAX(-(計算!$AG$6),MIN(200,(ROUNDDOWN(計算!$AG$6/2,0)*S$10+ROUNDDOWN(計算!$AG$6/4,0)*S$11))))/2,0))/2,0)+(1+ROUNDDOWN(ROUNDDOWN((計算!$I28-ROUNDDOWN((計算!$AG$6+MAX(-(計算!$AG$6),MIN(200,(ROUNDDOWN(計算!$AG$6/2,0)*S$10+ROUNDDOWN(計算!$AG$6/4,0)*S$11))))/2,0))/2,0)/16,0)))/2,0),0)))</f>
        <v>1</v>
      </c>
      <c r="V73" s="260"/>
      <c r="W73" s="257">
        <f ca="1">IF(OR($H39="",W$15=""),"",IF($I73="念",VLOOKUP("念じボール",敵技,6,0),IF($I73="叩",VLOOKUP("叩きつける",敵技,6,0),0))+MAX(0,ROUNDDOWN(IF(W$9="あり",0.5,IF(W$9="大防御",0.1,1))*ROUNDDOWN((ROUNDDOWN((計算!$I28-ROUNDDOWN((計算!$AG$7+MAX(-(計算!$AG$7),MIN(200,(ROUNDDOWN(計算!$AG$7/2,0)*W$10+ROUNDDOWN(計算!$AG$7/4,0)*W$11))))/2,0))/2,0)-(1+ROUNDDOWN(ROUNDDOWN((計算!$I28-ROUNDDOWN((計算!$AG$7+MAX(-(計算!$AG$7),MIN(200,(ROUNDDOWN(計算!$AG$7/2,0)*W$10+ROUNDDOWN(計算!$AG$7/4,0)*W$11))))/2,0))/2,0)/16,0)))/2,0),0)))</f>
        <v>0</v>
      </c>
      <c r="X73" s="258"/>
      <c r="Y73" s="259">
        <f ca="1">IF(OR($H39="",W$15=""),"",IF($I73="念",VLOOKUP("念じボール",敵技,6,0),IF($I73="叩",VLOOKUP("叩きつける",敵技,6,0),0))+MAX(1,ROUNDDOWN(IF(W$9="あり",0.5,IF(W$9="大防御",0.1,1))*ROUNDDOWN((ROUNDDOWN((計算!$I28-ROUNDDOWN((計算!$AG$7+MAX(-(計算!$AG$7),MIN(200,(ROUNDDOWN(計算!$AG$7/2,0)*W$10+ROUNDDOWN(計算!$AG$7/4,0)*W$11))))/2,0))/2,0)+(1+ROUNDDOWN(ROUNDDOWN((計算!$I28-ROUNDDOWN((計算!$AG$7+MAX(-(計算!$AG$7),MIN(200,(ROUNDDOWN(計算!$AG$7/2,0)*W$10+ROUNDDOWN(計算!$AG$7/4,0)*W$11))))/2,0))/2,0)/16,0)))/2,0),0)))</f>
        <v>1</v>
      </c>
      <c r="Z73" s="260"/>
      <c r="AA73" s="257">
        <f ca="1">IF(OR($H39="",AA$15=""),"",IF($I73="念",VLOOKUP("念じボール",敵技,6,0),IF($I73="叩",VLOOKUP("叩きつける",敵技,6,0),0))+MAX(0,ROUNDDOWN(IF(AA$9="あり",0.5,IF(AA$9="大防御",0.1,1))*ROUNDDOWN((ROUNDDOWN((計算!$I28-ROUNDDOWN((計算!$AG$8+MAX(-(計算!$AG$8),MIN(200,(ROUNDDOWN(計算!$AG$8/2,0)*AA$10+ROUNDDOWN(計算!$AG$8/4,0)*AA$11))))/2,0))/2,0)-(1+ROUNDDOWN(ROUNDDOWN((計算!$I28-ROUNDDOWN((計算!$AG$8+MAX(-(計算!$AG$8),MIN(200,(ROUNDDOWN(計算!$AG$8/2,0)*AA$10+ROUNDDOWN(計算!$AG$8/4,0)*AA$11))))/2,0))/2,0)/16,0)))/2,0),0)))</f>
        <v>0</v>
      </c>
      <c r="AB73" s="258"/>
      <c r="AC73" s="259">
        <f ca="1">IF(OR($H39="",AA$15=""),"",IF($I73="念",VLOOKUP("念じボール",敵技,6,0),IF($I73="叩",VLOOKUP("叩きつける",敵技,6,0),0))+MAX(1,ROUNDDOWN(IF(AA$9="あり",0.5,IF(AA$9="大防御",0.1,1))*ROUNDDOWN((ROUNDDOWN((計算!$I28-ROUNDDOWN((計算!$AG$8+MAX(-(計算!$AG$8),MIN(200,(ROUNDDOWN(計算!$AG$8/2,0)*AA$10+ROUNDDOWN(計算!$AG$8/4,0)*AA$11))))/2,0))/2,0)+(1+ROUNDDOWN(ROUNDDOWN((計算!$I28-ROUNDDOWN((計算!$AG$8+MAX(-(計算!$AG$8),MIN(200,(ROUNDDOWN(計算!$AG$8/2,0)*AA$10+ROUNDDOWN(計算!$AG$8/4,0)*AA$11))))/2,0))/2,0)/16,0)))/2,0),0)))</f>
        <v>1</v>
      </c>
      <c r="AD73" s="260"/>
      <c r="AE73" s="257">
        <f ca="1">IF(OR($H39="",AE$15=""),"",IF($I73="念",VLOOKUP("念じボール",敵技,6,0),IF($I73="叩",VLOOKUP("叩きつける",敵技,6,0),0))+MAX(0,ROUNDDOWN(IF(AE$9="あり",0.5,IF(AE$9="大防御",0.1,1))*ROUNDDOWN((ROUNDDOWN((計算!$I28-ROUNDDOWN((計算!$AG$9+MAX(-(計算!$AG$9),MIN(200,(ROUNDDOWN(計算!$AG$9/2,0)*AE$10+ROUNDDOWN(計算!$AG$9/4,0)*AE$11))))/2,0))/2,0)-(1+ROUNDDOWN(ROUNDDOWN((計算!$I28-ROUNDDOWN((計算!$AG$9+MAX(-(計算!$AG$9),MIN(200,(ROUNDDOWN(計算!$AG$9/2,0)*AE$10+ROUNDDOWN(計算!$AG$9/4,0)*AE$11))))/2,0))/2,0)/16,0)))/2,0),0)))</f>
        <v>0</v>
      </c>
      <c r="AF73" s="258"/>
      <c r="AG73" s="259">
        <f ca="1">IF(OR($H39="",AE$15=""),"",IF($I73="念",VLOOKUP("念じボール",敵技,6,0),IF($I73="叩",VLOOKUP("叩きつける",敵技,6,0),0))+MAX(1,ROUNDDOWN(IF(AE$9="あり",0.5,IF(AE$9="大防御",0.1,1))*ROUNDDOWN((ROUNDDOWN((計算!$I28-ROUNDDOWN((計算!$AG$9+MAX(-(計算!$AG$9),MIN(200,(ROUNDDOWN(計算!$AG$9/2,0)*AE$10+ROUNDDOWN(計算!$AG$9/4,0)*AE$11))))/2,0))/2,0)+(1+ROUNDDOWN(ROUNDDOWN((計算!$I28-ROUNDDOWN((計算!$AG$9+MAX(-(計算!$AG$9),MIN(200,(ROUNDDOWN(計算!$AG$9/2,0)*AE$10+ROUNDDOWN(計算!$AG$9/4,0)*AE$11))))/2,0))/2,0)/16,0)))/2,0),0)))</f>
        <v>1</v>
      </c>
      <c r="AH73" s="260"/>
      <c r="AI73" s="257">
        <f ca="1">IF(OR($H39="",AI$15=""),"",IF($I73="念",VLOOKUP("念じボール",敵技,6,0),IF($I73="叩",VLOOKUP("叩きつける",敵技,6,0),0))+MAX(0,ROUNDDOWN(IF(AI$9="あり",0.5,IF(AI$9="大防御",0.1,1))*ROUNDDOWN((ROUNDDOWN((計算!$I28-ROUNDDOWN((計算!$AG$10+MAX(-(計算!$AG$10),MIN(200,(ROUNDDOWN(計算!$AG$10/2,0)*AI$10+ROUNDDOWN(計算!$AG$10/4,0)*AI$11))))/2,0))/2,0)-(1+ROUNDDOWN(ROUNDDOWN((計算!$I28-ROUNDDOWN((計算!$AG$10+MAX(-(計算!$AG$10),MIN(200,(ROUNDDOWN(計算!$AG$10/2,0)*AI$10+ROUNDDOWN(計算!$AG$10/4,0)*AI$11))))/2,0))/2,0)/16,0)))/2,0),0)))</f>
        <v>0</v>
      </c>
      <c r="AJ73" s="258"/>
      <c r="AK73" s="259">
        <f ca="1">IF(OR($H39="",AI$15=""),"",IF($I73="念",VLOOKUP("念じボール",敵技,6,0),IF($I73="叩",VLOOKUP("叩きつける",敵技,6,0),0))+MAX(1,ROUNDDOWN(IF(AI$9="あり",0.5,IF(AI$9="大防御",0.1,1))*ROUNDDOWN((ROUNDDOWN((計算!$I28-ROUNDDOWN((計算!$AG$10+MAX(-(計算!$AG$10),MIN(200,(ROUNDDOWN(計算!$AG$10/2,0)*AI$10+ROUNDDOWN(計算!$AG$10/4,0)*AI$11))))/2,0))/2,0)+(1+ROUNDDOWN(ROUNDDOWN((計算!$I28-ROUNDDOWN((計算!$AG$10+MAX(-(計算!$AG$10),MIN(200,(ROUNDDOWN(計算!$AG$10/2,0)*AI$10+ROUNDDOWN(計算!$AG$10/4,0)*AI$11))))/2,0))/2,0)/16,0)))/2,0),0)))</f>
        <v>1</v>
      </c>
      <c r="AL73" s="260"/>
      <c r="AM73" s="257">
        <f ca="1">IF(OR($H39="",AM$15=""),"",IF($I73="念",VLOOKUP("念じボール",敵技,6,0),IF($I73="叩",VLOOKUP("叩きつける",敵技,6,0),0))+MAX(0,ROUNDDOWN(IF(AM$9="あり",0.5,IF(AM$9="大防御",0.1,1))*ROUNDDOWN((ROUNDDOWN((計算!$I28-ROUNDDOWN((計算!$AG$11+MAX(-(計算!$AG$11),MIN(200,(ROUNDDOWN(計算!$AG$11/2,0)*AM$10+ROUNDDOWN(計算!$AG$11/4,0)*AM$11))))/2,0))/2,0)-(1+ROUNDDOWN(ROUNDDOWN((計算!$I28-ROUNDDOWN((計算!$AG$11+MAX(-(計算!$AG$11),MIN(200,(ROUNDDOWN(計算!$AG$11/2,0)*AM$10+ROUNDDOWN(計算!$AG$11/4,0)*AM$11))))/2,0))/2,0)/16,0)))/2,0),0)))</f>
        <v>0</v>
      </c>
      <c r="AN73" s="258"/>
      <c r="AO73" s="259">
        <f ca="1">IF(OR($H39="",AM$15=""),"",IF($I73="念",VLOOKUP("念じボール",敵技,6,0),IF($I73="叩",VLOOKUP("叩きつける",敵技,6,0),0))+MAX(1,ROUNDDOWN(IF(AM$9="あり",0.5,IF(AM$9="大防御",0.1,1))*ROUNDDOWN((ROUNDDOWN((計算!$I28-ROUNDDOWN((計算!$AG$11+MAX(-(計算!$AG$11),MIN(200,(ROUNDDOWN(計算!$AG$11/2,0)*AM$10+ROUNDDOWN(計算!$AG$11/4,0)*AM$11))))/2,0))/2,0)+(1+ROUNDDOWN(ROUNDDOWN((計算!$I28-ROUNDDOWN((計算!$AG$11+MAX(-(計算!$AG$11),MIN(200,(ROUNDDOWN(計算!$AG$11/2,0)*AM$10+ROUNDDOWN(計算!$AG$11/4,0)*AM$11))))/2,0))/2,0)/16,0)))/2,0),0)))</f>
        <v>1</v>
      </c>
      <c r="AP73" s="260"/>
    </row>
    <row r="74" spans="2:42" x14ac:dyDescent="0.15">
      <c r="B74" s="9">
        <f t="shared" ca="1" si="153"/>
        <v>0</v>
      </c>
      <c r="C74" s="9">
        <f t="shared" ca="1" si="154"/>
        <v>0</v>
      </c>
      <c r="D74" s="9">
        <v>547</v>
      </c>
      <c r="H74" s="98" t="str">
        <f t="shared" ref="H74:H80" ca="1" si="161">$H6</f>
        <v>デスタムーア3</v>
      </c>
      <c r="I74" s="108" t="str">
        <f>IF(計算!F37="","",VLOOKUP(計算!F37,敵技,4,0))</f>
        <v>メ</v>
      </c>
      <c r="J74" s="106" t="str">
        <f>IF(計算!F37="","",VLOOKUP(計算!F37,敵技,5,0))</f>
        <v>中</v>
      </c>
      <c r="K74" s="257">
        <f ca="1">IF(OR($H40="",K$15=""),"",IF($I74="念",VLOOKUP("念じボール",敵技,6,0),IF($I74="叩",VLOOKUP("叩きつける",敵技,6,0),0))+MAX(0,ROUNDDOWN(IF(K$9="あり",0.5,IF(K$9="大防御",0.1,1))*ROUNDDOWN((ROUNDDOWN((計算!$I29-ROUNDDOWN((計算!$AG$4+MAX(-(計算!$AG$4),MIN(200,(ROUNDDOWN(計算!$AG$4/2,0)*K$10+ROUNDDOWN(計算!$AG$4/4,0)*K$11))))/2,0))/2,0)-(1+ROUNDDOWN(ROUNDDOWN((計算!$I29-ROUNDDOWN((計算!$AG$4+MAX(-(計算!$AG$4),MIN(200,(ROUNDDOWN(計算!$AG$4/2,0)*K$10+ROUNDDOWN(計算!$AG$4/4,0)*K$11))))/2,0))/2,0)/16,0)))/2,0),0)))</f>
        <v>0</v>
      </c>
      <c r="L74" s="258"/>
      <c r="M74" s="259">
        <f ca="1">IF(OR($H40="",K$15=""),"",IF($I74="念",VLOOKUP("念じボール",敵技,6,0),IF($I74="叩",VLOOKUP("叩きつける",敵技,6,0),0))+MAX(1,ROUNDDOWN(IF(K$9="あり",0.5,IF(K$9="大防御",0.1,1))*ROUNDDOWN((ROUNDDOWN((計算!$I29-ROUNDDOWN((計算!$AG$4+MAX(-(計算!$AG$4),MIN(200,(ROUNDDOWN(計算!$AG$4/2,0)*K$10+ROUNDDOWN(計算!$AG$4/4,0)*K$11))))/2,0))/2,0)+(1+ROUNDDOWN(ROUNDDOWN((計算!$I29-ROUNDDOWN((計算!$AG$4+MAX(-(計算!$AG$4),MIN(200,(ROUNDDOWN(計算!$AG$4/2,0)*K$10+ROUNDDOWN(計算!$AG$4/4,0)*K$11))))/2,0))/2,0)/16,0)))/2,0),0)))</f>
        <v>1</v>
      </c>
      <c r="N74" s="260"/>
      <c r="O74" s="257">
        <f ca="1">IF(OR($H40="",O$15=""),"",IF($I74="念",VLOOKUP("念じボール",敵技,6,0),IF($I74="叩",VLOOKUP("叩きつける",敵技,6,0),0))+MAX(0,ROUNDDOWN(IF(O$9="あり",0.5,IF(O$9="大防御",0.1,1))*ROUNDDOWN((ROUNDDOWN((計算!$I29-ROUNDDOWN((計算!$AG$5+MAX(-(計算!$AG$5),MIN(200,(ROUNDDOWN(計算!$AG$5/2,0)*O$10+ROUNDDOWN(計算!$AG$5/4,0)*O$11))))/2,0))/2,0)-(1+ROUNDDOWN(ROUNDDOWN((計算!$I29-ROUNDDOWN((計算!$AG$5+MAX(-(計算!$AG$5),MIN(200,(ROUNDDOWN(計算!$AG$5/2,0)*O$10+ROUNDDOWN(計算!$AG$5/4,0)*O$11))))/2,0))/2,0)/16,0)))/2,0),0)))</f>
        <v>0</v>
      </c>
      <c r="P74" s="258"/>
      <c r="Q74" s="259">
        <f ca="1">IF(OR($H40="",O$15=""),"",IF($I74="念",VLOOKUP("念じボール",敵技,6,0),IF($I74="叩",VLOOKUP("叩きつける",敵技,6,0),0))+MAX(1,ROUNDDOWN(IF(O$9="あり",0.5,IF(O$9="大防御",0.1,1))*ROUNDDOWN((ROUNDDOWN((計算!$I29-ROUNDDOWN((計算!$AG$5+MAX(-(計算!$AG$5),MIN(200,(ROUNDDOWN(計算!$AG$5/2,0)*O$10+ROUNDDOWN(計算!$AG$5/4,0)*O$11))))/2,0))/2,0)+(1+ROUNDDOWN(ROUNDDOWN((計算!$I29-ROUNDDOWN((計算!$AG$5+MAX(-(計算!$AG$5),MIN(200,(ROUNDDOWN(計算!$AG$5/2,0)*O$10+ROUNDDOWN(計算!$AG$5/4,0)*O$11))))/2,0))/2,0)/16,0)))/2,0),0)))</f>
        <v>1</v>
      </c>
      <c r="R74" s="260"/>
      <c r="S74" s="257">
        <f ca="1">IF(OR($H40="",S$15=""),"",IF($I74="念",VLOOKUP("念じボール",敵技,6,0),IF($I74="叩",VLOOKUP("叩きつける",敵技,6,0),0))+MAX(0,ROUNDDOWN(IF(S$9="あり",0.5,IF(S$9="大防御",0.1,1))*ROUNDDOWN((ROUNDDOWN((計算!$I29-ROUNDDOWN((計算!$AG$6+MAX(-(計算!$AG$6),MIN(200,(ROUNDDOWN(計算!$AG$6/2,0)*S$10+ROUNDDOWN(計算!$AG$6/4,0)*S$11))))/2,0))/2,0)-(1+ROUNDDOWN(ROUNDDOWN((計算!$I29-ROUNDDOWN((計算!$AG$6+MAX(-(計算!$AG$6),MIN(200,(ROUNDDOWN(計算!$AG$6/2,0)*S$10+ROUNDDOWN(計算!$AG$6/4,0)*S$11))))/2,0))/2,0)/16,0)))/2,0),0)))</f>
        <v>0</v>
      </c>
      <c r="T74" s="258"/>
      <c r="U74" s="259">
        <f ca="1">IF(OR($H40="",S$15=""),"",IF($I74="念",VLOOKUP("念じボール",敵技,6,0),IF($I74="叩",VLOOKUP("叩きつける",敵技,6,0),0))+MAX(1,ROUNDDOWN(IF(S$9="あり",0.5,IF(S$9="大防御",0.1,1))*ROUNDDOWN((ROUNDDOWN((計算!$I29-ROUNDDOWN((計算!$AG$6+MAX(-(計算!$AG$6),MIN(200,(ROUNDDOWN(計算!$AG$6/2,0)*S$10+ROUNDDOWN(計算!$AG$6/4,0)*S$11))))/2,0))/2,0)+(1+ROUNDDOWN(ROUNDDOWN((計算!$I29-ROUNDDOWN((計算!$AG$6+MAX(-(計算!$AG$6),MIN(200,(ROUNDDOWN(計算!$AG$6/2,0)*S$10+ROUNDDOWN(計算!$AG$6/4,0)*S$11))))/2,0))/2,0)/16,0)))/2,0),0)))</f>
        <v>1</v>
      </c>
      <c r="V74" s="260"/>
      <c r="W74" s="257">
        <f ca="1">IF(OR($H40="",W$15=""),"",IF($I74="念",VLOOKUP("念じボール",敵技,6,0),IF($I74="叩",VLOOKUP("叩きつける",敵技,6,0),0))+MAX(0,ROUNDDOWN(IF(W$9="あり",0.5,IF(W$9="大防御",0.1,1))*ROUNDDOWN((ROUNDDOWN((計算!$I29-ROUNDDOWN((計算!$AG$7+MAX(-(計算!$AG$7),MIN(200,(ROUNDDOWN(計算!$AG$7/2,0)*W$10+ROUNDDOWN(計算!$AG$7/4,0)*W$11))))/2,0))/2,0)-(1+ROUNDDOWN(ROUNDDOWN((計算!$I29-ROUNDDOWN((計算!$AG$7+MAX(-(計算!$AG$7),MIN(200,(ROUNDDOWN(計算!$AG$7/2,0)*W$10+ROUNDDOWN(計算!$AG$7/4,0)*W$11))))/2,0))/2,0)/16,0)))/2,0),0)))</f>
        <v>0</v>
      </c>
      <c r="X74" s="258"/>
      <c r="Y74" s="259">
        <f ca="1">IF(OR($H40="",W$15=""),"",IF($I74="念",VLOOKUP("念じボール",敵技,6,0),IF($I74="叩",VLOOKUP("叩きつける",敵技,6,0),0))+MAX(1,ROUNDDOWN(IF(W$9="あり",0.5,IF(W$9="大防御",0.1,1))*ROUNDDOWN((ROUNDDOWN((計算!$I29-ROUNDDOWN((計算!$AG$7+MAX(-(計算!$AG$7),MIN(200,(ROUNDDOWN(計算!$AG$7/2,0)*W$10+ROUNDDOWN(計算!$AG$7/4,0)*W$11))))/2,0))/2,0)+(1+ROUNDDOWN(ROUNDDOWN((計算!$I29-ROUNDDOWN((計算!$AG$7+MAX(-(計算!$AG$7),MIN(200,(ROUNDDOWN(計算!$AG$7/2,0)*W$10+ROUNDDOWN(計算!$AG$7/4,0)*W$11))))/2,0))/2,0)/16,0)))/2,0),0)))</f>
        <v>1</v>
      </c>
      <c r="Z74" s="260"/>
      <c r="AA74" s="257">
        <f ca="1">IF(OR($H40="",AA$15=""),"",IF($I74="念",VLOOKUP("念じボール",敵技,6,0),IF($I74="叩",VLOOKUP("叩きつける",敵技,6,0),0))+MAX(0,ROUNDDOWN(IF(AA$9="あり",0.5,IF(AA$9="大防御",0.1,1))*ROUNDDOWN((ROUNDDOWN((計算!$I29-ROUNDDOWN((計算!$AG$8+MAX(-(計算!$AG$8),MIN(200,(ROUNDDOWN(計算!$AG$8/2,0)*AA$10+ROUNDDOWN(計算!$AG$8/4,0)*AA$11))))/2,0))/2,0)-(1+ROUNDDOWN(ROUNDDOWN((計算!$I29-ROUNDDOWN((計算!$AG$8+MAX(-(計算!$AG$8),MIN(200,(ROUNDDOWN(計算!$AG$8/2,0)*AA$10+ROUNDDOWN(計算!$AG$8/4,0)*AA$11))))/2,0))/2,0)/16,0)))/2,0),0)))</f>
        <v>0</v>
      </c>
      <c r="AB74" s="258"/>
      <c r="AC74" s="259">
        <f ca="1">IF(OR($H40="",AA$15=""),"",IF($I74="念",VLOOKUP("念じボール",敵技,6,0),IF($I74="叩",VLOOKUP("叩きつける",敵技,6,0),0))+MAX(1,ROUNDDOWN(IF(AA$9="あり",0.5,IF(AA$9="大防御",0.1,1))*ROUNDDOWN((ROUNDDOWN((計算!$I29-ROUNDDOWN((計算!$AG$8+MAX(-(計算!$AG$8),MIN(200,(ROUNDDOWN(計算!$AG$8/2,0)*AA$10+ROUNDDOWN(計算!$AG$8/4,0)*AA$11))))/2,0))/2,0)+(1+ROUNDDOWN(ROUNDDOWN((計算!$I29-ROUNDDOWN((計算!$AG$8+MAX(-(計算!$AG$8),MIN(200,(ROUNDDOWN(計算!$AG$8/2,0)*AA$10+ROUNDDOWN(計算!$AG$8/4,0)*AA$11))))/2,0))/2,0)/16,0)))/2,0),0)))</f>
        <v>1</v>
      </c>
      <c r="AD74" s="260"/>
      <c r="AE74" s="257">
        <f ca="1">IF(OR($H40="",AE$15=""),"",IF($I74="念",VLOOKUP("念じボール",敵技,6,0),IF($I74="叩",VLOOKUP("叩きつける",敵技,6,0),0))+MAX(0,ROUNDDOWN(IF(AE$9="あり",0.5,IF(AE$9="大防御",0.1,1))*ROUNDDOWN((ROUNDDOWN((計算!$I29-ROUNDDOWN((計算!$AG$9+MAX(-(計算!$AG$9),MIN(200,(ROUNDDOWN(計算!$AG$9/2,0)*AE$10+ROUNDDOWN(計算!$AG$9/4,0)*AE$11))))/2,0))/2,0)-(1+ROUNDDOWN(ROUNDDOWN((計算!$I29-ROUNDDOWN((計算!$AG$9+MAX(-(計算!$AG$9),MIN(200,(ROUNDDOWN(計算!$AG$9/2,0)*AE$10+ROUNDDOWN(計算!$AG$9/4,0)*AE$11))))/2,0))/2,0)/16,0)))/2,0),0)))</f>
        <v>0</v>
      </c>
      <c r="AF74" s="258"/>
      <c r="AG74" s="259">
        <f ca="1">IF(OR($H40="",AE$15=""),"",IF($I74="念",VLOOKUP("念じボール",敵技,6,0),IF($I74="叩",VLOOKUP("叩きつける",敵技,6,0),0))+MAX(1,ROUNDDOWN(IF(AE$9="あり",0.5,IF(AE$9="大防御",0.1,1))*ROUNDDOWN((ROUNDDOWN((計算!$I29-ROUNDDOWN((計算!$AG$9+MAX(-(計算!$AG$9),MIN(200,(ROUNDDOWN(計算!$AG$9/2,0)*AE$10+ROUNDDOWN(計算!$AG$9/4,0)*AE$11))))/2,0))/2,0)+(1+ROUNDDOWN(ROUNDDOWN((計算!$I29-ROUNDDOWN((計算!$AG$9+MAX(-(計算!$AG$9),MIN(200,(ROUNDDOWN(計算!$AG$9/2,0)*AE$10+ROUNDDOWN(計算!$AG$9/4,0)*AE$11))))/2,0))/2,0)/16,0)))/2,0),0)))</f>
        <v>1</v>
      </c>
      <c r="AH74" s="260"/>
      <c r="AI74" s="257">
        <f ca="1">IF(OR($H40="",AI$15=""),"",IF($I74="念",VLOOKUP("念じボール",敵技,6,0),IF($I74="叩",VLOOKUP("叩きつける",敵技,6,0),0))+MAX(0,ROUNDDOWN(IF(AI$9="あり",0.5,IF(AI$9="大防御",0.1,1))*ROUNDDOWN((ROUNDDOWN((計算!$I29-ROUNDDOWN((計算!$AG$10+MAX(-(計算!$AG$10),MIN(200,(ROUNDDOWN(計算!$AG$10/2,0)*AI$10+ROUNDDOWN(計算!$AG$10/4,0)*AI$11))))/2,0))/2,0)-(1+ROUNDDOWN(ROUNDDOWN((計算!$I29-ROUNDDOWN((計算!$AG$10+MAX(-(計算!$AG$10),MIN(200,(ROUNDDOWN(計算!$AG$10/2,0)*AI$10+ROUNDDOWN(計算!$AG$10/4,0)*AI$11))))/2,0))/2,0)/16,0)))/2,0),0)))</f>
        <v>0</v>
      </c>
      <c r="AJ74" s="258"/>
      <c r="AK74" s="259">
        <f ca="1">IF(OR($H40="",AI$15=""),"",IF($I74="念",VLOOKUP("念じボール",敵技,6,0),IF($I74="叩",VLOOKUP("叩きつける",敵技,6,0),0))+MAX(1,ROUNDDOWN(IF(AI$9="あり",0.5,IF(AI$9="大防御",0.1,1))*ROUNDDOWN((ROUNDDOWN((計算!$I29-ROUNDDOWN((計算!$AG$10+MAX(-(計算!$AG$10),MIN(200,(ROUNDDOWN(計算!$AG$10/2,0)*AI$10+ROUNDDOWN(計算!$AG$10/4,0)*AI$11))))/2,0))/2,0)+(1+ROUNDDOWN(ROUNDDOWN((計算!$I29-ROUNDDOWN((計算!$AG$10+MAX(-(計算!$AG$10),MIN(200,(ROUNDDOWN(計算!$AG$10/2,0)*AI$10+ROUNDDOWN(計算!$AG$10/4,0)*AI$11))))/2,0))/2,0)/16,0)))/2,0),0)))</f>
        <v>1</v>
      </c>
      <c r="AL74" s="260"/>
      <c r="AM74" s="257">
        <f ca="1">IF(OR($H40="",AM$15=""),"",IF($I74="念",VLOOKUP("念じボール",敵技,6,0),IF($I74="叩",VLOOKUP("叩きつける",敵技,6,0),0))+MAX(0,ROUNDDOWN(IF(AM$9="あり",0.5,IF(AM$9="大防御",0.1,1))*ROUNDDOWN((ROUNDDOWN((計算!$I29-ROUNDDOWN((計算!$AG$11+MAX(-(計算!$AG$11),MIN(200,(ROUNDDOWN(計算!$AG$11/2,0)*AM$10+ROUNDDOWN(計算!$AG$11/4,0)*AM$11))))/2,0))/2,0)-(1+ROUNDDOWN(ROUNDDOWN((計算!$I29-ROUNDDOWN((計算!$AG$11+MAX(-(計算!$AG$11),MIN(200,(ROUNDDOWN(計算!$AG$11/2,0)*AM$10+ROUNDDOWN(計算!$AG$11/4,0)*AM$11))))/2,0))/2,0)/16,0)))/2,0),0)))</f>
        <v>0</v>
      </c>
      <c r="AN74" s="258"/>
      <c r="AO74" s="259">
        <f ca="1">IF(OR($H40="",AM$15=""),"",IF($I74="念",VLOOKUP("念じボール",敵技,6,0),IF($I74="叩",VLOOKUP("叩きつける",敵技,6,0),0))+MAX(1,ROUNDDOWN(IF(AM$9="あり",0.5,IF(AM$9="大防御",0.1,1))*ROUNDDOWN((ROUNDDOWN((計算!$I29-ROUNDDOWN((計算!$AG$11+MAX(-(計算!$AG$11),MIN(200,(ROUNDDOWN(計算!$AG$11/2,0)*AM$10+ROUNDDOWN(計算!$AG$11/4,0)*AM$11))))/2,0))/2,0)+(1+ROUNDDOWN(ROUNDDOWN((計算!$I29-ROUNDDOWN((計算!$AG$11+MAX(-(計算!$AG$11),MIN(200,(ROUNDDOWN(計算!$AG$11/2,0)*AM$10+ROUNDDOWN(計算!$AG$11/4,0)*AM$11))))/2,0))/2,0)/16,0)))/2,0),0)))</f>
        <v>1</v>
      </c>
      <c r="AP74" s="260"/>
    </row>
    <row r="75" spans="2:42" x14ac:dyDescent="0.15">
      <c r="B75" s="9">
        <f t="shared" ca="1" si="153"/>
        <v>0</v>
      </c>
      <c r="C75" s="9">
        <f t="shared" ca="1" si="154"/>
        <v>0</v>
      </c>
      <c r="D75" s="9">
        <v>555</v>
      </c>
      <c r="H75" s="98" t="str">
        <f t="shared" ca="1" si="161"/>
        <v>デスタムーア3</v>
      </c>
      <c r="I75" s="108" t="str">
        <f>IF(計算!F38="","",VLOOKUP(計算!F38,敵技,4,0))</f>
        <v>雪</v>
      </c>
      <c r="J75" s="106" t="str">
        <f>IF(計算!F38="","",VLOOKUP(計算!F38,敵技,5,0))</f>
        <v>高</v>
      </c>
      <c r="K75" s="257">
        <f ca="1">IF(OR($H41="",K$15=""),"",IF($I75="念",VLOOKUP("念じボール",敵技,6,0),IF($I75="叩",VLOOKUP("叩きつける",敵技,6,0),0))+MAX(0,ROUNDDOWN(IF(K$9="あり",0.5,IF(K$9="大防御",0.1,1))*ROUNDDOWN((ROUNDDOWN((計算!$I30-ROUNDDOWN((計算!$AG$4+MAX(-(計算!$AG$4),MIN(200,(ROUNDDOWN(計算!$AG$4/2,0)*K$10+ROUNDDOWN(計算!$AG$4/4,0)*K$11))))/2,0))/2,0)-(1+ROUNDDOWN(ROUNDDOWN((計算!$I30-ROUNDDOWN((計算!$AG$4+MAX(-(計算!$AG$4),MIN(200,(ROUNDDOWN(計算!$AG$4/2,0)*K$10+ROUNDDOWN(計算!$AG$4/4,0)*K$11))))/2,0))/2,0)/16,0)))/2,0),0)))</f>
        <v>0</v>
      </c>
      <c r="L75" s="258"/>
      <c r="M75" s="259">
        <f ca="1">IF(OR($H41="",K$15=""),"",IF($I75="念",VLOOKUP("念じボール",敵技,6,0),IF($I75="叩",VLOOKUP("叩きつける",敵技,6,0),0))+MAX(1,ROUNDDOWN(IF(K$9="あり",0.5,IF(K$9="大防御",0.1,1))*ROUNDDOWN((ROUNDDOWN((計算!$I30-ROUNDDOWN((計算!$AG$4+MAX(-(計算!$AG$4),MIN(200,(ROUNDDOWN(計算!$AG$4/2,0)*K$10+ROUNDDOWN(計算!$AG$4/4,0)*K$11))))/2,0))/2,0)+(1+ROUNDDOWN(ROUNDDOWN((計算!$I30-ROUNDDOWN((計算!$AG$4+MAX(-(計算!$AG$4),MIN(200,(ROUNDDOWN(計算!$AG$4/2,0)*K$10+ROUNDDOWN(計算!$AG$4/4,0)*K$11))))/2,0))/2,0)/16,0)))/2,0),0)))</f>
        <v>1</v>
      </c>
      <c r="N75" s="260"/>
      <c r="O75" s="257">
        <f ca="1">IF(OR($H41="",O$15=""),"",IF($I75="念",VLOOKUP("念じボール",敵技,6,0),IF($I75="叩",VLOOKUP("叩きつける",敵技,6,0),0))+MAX(0,ROUNDDOWN(IF(O$9="あり",0.5,IF(O$9="大防御",0.1,1))*ROUNDDOWN((ROUNDDOWN((計算!$I30-ROUNDDOWN((計算!$AG$5+MAX(-(計算!$AG$5),MIN(200,(ROUNDDOWN(計算!$AG$5/2,0)*O$10+ROUNDDOWN(計算!$AG$5/4,0)*O$11))))/2,0))/2,0)-(1+ROUNDDOWN(ROUNDDOWN((計算!$I30-ROUNDDOWN((計算!$AG$5+MAX(-(計算!$AG$5),MIN(200,(ROUNDDOWN(計算!$AG$5/2,0)*O$10+ROUNDDOWN(計算!$AG$5/4,0)*O$11))))/2,0))/2,0)/16,0)))/2,0),0)))</f>
        <v>0</v>
      </c>
      <c r="P75" s="258"/>
      <c r="Q75" s="259">
        <f ca="1">IF(OR($H41="",O$15=""),"",IF($I75="念",VLOOKUP("念じボール",敵技,6,0),IF($I75="叩",VLOOKUP("叩きつける",敵技,6,0),0))+MAX(1,ROUNDDOWN(IF(O$9="あり",0.5,IF(O$9="大防御",0.1,1))*ROUNDDOWN((ROUNDDOWN((計算!$I30-ROUNDDOWN((計算!$AG$5+MAX(-(計算!$AG$5),MIN(200,(ROUNDDOWN(計算!$AG$5/2,0)*O$10+ROUNDDOWN(計算!$AG$5/4,0)*O$11))))/2,0))/2,0)+(1+ROUNDDOWN(ROUNDDOWN((計算!$I30-ROUNDDOWN((計算!$AG$5+MAX(-(計算!$AG$5),MIN(200,(ROUNDDOWN(計算!$AG$5/2,0)*O$10+ROUNDDOWN(計算!$AG$5/4,0)*O$11))))/2,0))/2,0)/16,0)))/2,0),0)))</f>
        <v>1</v>
      </c>
      <c r="R75" s="260"/>
      <c r="S75" s="257">
        <f ca="1">IF(OR($H41="",S$15=""),"",IF($I75="念",VLOOKUP("念じボール",敵技,6,0),IF($I75="叩",VLOOKUP("叩きつける",敵技,6,0),0))+MAX(0,ROUNDDOWN(IF(S$9="あり",0.5,IF(S$9="大防御",0.1,1))*ROUNDDOWN((ROUNDDOWN((計算!$I30-ROUNDDOWN((計算!$AG$6+MAX(-(計算!$AG$6),MIN(200,(ROUNDDOWN(計算!$AG$6/2,0)*S$10+ROUNDDOWN(計算!$AG$6/4,0)*S$11))))/2,0))/2,0)-(1+ROUNDDOWN(ROUNDDOWN((計算!$I30-ROUNDDOWN((計算!$AG$6+MAX(-(計算!$AG$6),MIN(200,(ROUNDDOWN(計算!$AG$6/2,0)*S$10+ROUNDDOWN(計算!$AG$6/4,0)*S$11))))/2,0))/2,0)/16,0)))/2,0),0)))</f>
        <v>0</v>
      </c>
      <c r="T75" s="258"/>
      <c r="U75" s="259">
        <f ca="1">IF(OR($H41="",S$15=""),"",IF($I75="念",VLOOKUP("念じボール",敵技,6,0),IF($I75="叩",VLOOKUP("叩きつける",敵技,6,0),0))+MAX(1,ROUNDDOWN(IF(S$9="あり",0.5,IF(S$9="大防御",0.1,1))*ROUNDDOWN((ROUNDDOWN((計算!$I30-ROUNDDOWN((計算!$AG$6+MAX(-(計算!$AG$6),MIN(200,(ROUNDDOWN(計算!$AG$6/2,0)*S$10+ROUNDDOWN(計算!$AG$6/4,0)*S$11))))/2,0))/2,0)+(1+ROUNDDOWN(ROUNDDOWN((計算!$I30-ROUNDDOWN((計算!$AG$6+MAX(-(計算!$AG$6),MIN(200,(ROUNDDOWN(計算!$AG$6/2,0)*S$10+ROUNDDOWN(計算!$AG$6/4,0)*S$11))))/2,0))/2,0)/16,0)))/2,0),0)))</f>
        <v>1</v>
      </c>
      <c r="V75" s="260"/>
      <c r="W75" s="257">
        <f ca="1">IF(OR($H41="",W$15=""),"",IF($I75="念",VLOOKUP("念じボール",敵技,6,0),IF($I75="叩",VLOOKUP("叩きつける",敵技,6,0),0))+MAX(0,ROUNDDOWN(IF(W$9="あり",0.5,IF(W$9="大防御",0.1,1))*ROUNDDOWN((ROUNDDOWN((計算!$I30-ROUNDDOWN((計算!$AG$7+MAX(-(計算!$AG$7),MIN(200,(ROUNDDOWN(計算!$AG$7/2,0)*W$10+ROUNDDOWN(計算!$AG$7/4,0)*W$11))))/2,0))/2,0)-(1+ROUNDDOWN(ROUNDDOWN((計算!$I30-ROUNDDOWN((計算!$AG$7+MAX(-(計算!$AG$7),MIN(200,(ROUNDDOWN(計算!$AG$7/2,0)*W$10+ROUNDDOWN(計算!$AG$7/4,0)*W$11))))/2,0))/2,0)/16,0)))/2,0),0)))</f>
        <v>0</v>
      </c>
      <c r="X75" s="258"/>
      <c r="Y75" s="259">
        <f ca="1">IF(OR($H41="",W$15=""),"",IF($I75="念",VLOOKUP("念じボール",敵技,6,0),IF($I75="叩",VLOOKUP("叩きつける",敵技,6,0),0))+MAX(1,ROUNDDOWN(IF(W$9="あり",0.5,IF(W$9="大防御",0.1,1))*ROUNDDOWN((ROUNDDOWN((計算!$I30-ROUNDDOWN((計算!$AG$7+MAX(-(計算!$AG$7),MIN(200,(ROUNDDOWN(計算!$AG$7/2,0)*W$10+ROUNDDOWN(計算!$AG$7/4,0)*W$11))))/2,0))/2,0)+(1+ROUNDDOWN(ROUNDDOWN((計算!$I30-ROUNDDOWN((計算!$AG$7+MAX(-(計算!$AG$7),MIN(200,(ROUNDDOWN(計算!$AG$7/2,0)*W$10+ROUNDDOWN(計算!$AG$7/4,0)*W$11))))/2,0))/2,0)/16,0)))/2,0),0)))</f>
        <v>1</v>
      </c>
      <c r="Z75" s="260"/>
      <c r="AA75" s="257">
        <f ca="1">IF(OR($H41="",AA$15=""),"",IF($I75="念",VLOOKUP("念じボール",敵技,6,0),IF($I75="叩",VLOOKUP("叩きつける",敵技,6,0),0))+MAX(0,ROUNDDOWN(IF(AA$9="あり",0.5,IF(AA$9="大防御",0.1,1))*ROUNDDOWN((ROUNDDOWN((計算!$I30-ROUNDDOWN((計算!$AG$8+MAX(-(計算!$AG$8),MIN(200,(ROUNDDOWN(計算!$AG$8/2,0)*AA$10+ROUNDDOWN(計算!$AG$8/4,0)*AA$11))))/2,0))/2,0)-(1+ROUNDDOWN(ROUNDDOWN((計算!$I30-ROUNDDOWN((計算!$AG$8+MAX(-(計算!$AG$8),MIN(200,(ROUNDDOWN(計算!$AG$8/2,0)*AA$10+ROUNDDOWN(計算!$AG$8/4,0)*AA$11))))/2,0))/2,0)/16,0)))/2,0),0)))</f>
        <v>0</v>
      </c>
      <c r="AB75" s="258"/>
      <c r="AC75" s="259">
        <f ca="1">IF(OR($H41="",AA$15=""),"",IF($I75="念",VLOOKUP("念じボール",敵技,6,0),IF($I75="叩",VLOOKUP("叩きつける",敵技,6,0),0))+MAX(1,ROUNDDOWN(IF(AA$9="あり",0.5,IF(AA$9="大防御",0.1,1))*ROUNDDOWN((ROUNDDOWN((計算!$I30-ROUNDDOWN((計算!$AG$8+MAX(-(計算!$AG$8),MIN(200,(ROUNDDOWN(計算!$AG$8/2,0)*AA$10+ROUNDDOWN(計算!$AG$8/4,0)*AA$11))))/2,0))/2,0)+(1+ROUNDDOWN(ROUNDDOWN((計算!$I30-ROUNDDOWN((計算!$AG$8+MAX(-(計算!$AG$8),MIN(200,(ROUNDDOWN(計算!$AG$8/2,0)*AA$10+ROUNDDOWN(計算!$AG$8/4,0)*AA$11))))/2,0))/2,0)/16,0)))/2,0),0)))</f>
        <v>1</v>
      </c>
      <c r="AD75" s="260"/>
      <c r="AE75" s="257">
        <f ca="1">IF(OR($H41="",AE$15=""),"",IF($I75="念",VLOOKUP("念じボール",敵技,6,0),IF($I75="叩",VLOOKUP("叩きつける",敵技,6,0),0))+MAX(0,ROUNDDOWN(IF(AE$9="あり",0.5,IF(AE$9="大防御",0.1,1))*ROUNDDOWN((ROUNDDOWN((計算!$I30-ROUNDDOWN((計算!$AG$9+MAX(-(計算!$AG$9),MIN(200,(ROUNDDOWN(計算!$AG$9/2,0)*AE$10+ROUNDDOWN(計算!$AG$9/4,0)*AE$11))))/2,0))/2,0)-(1+ROUNDDOWN(ROUNDDOWN((計算!$I30-ROUNDDOWN((計算!$AG$9+MAX(-(計算!$AG$9),MIN(200,(ROUNDDOWN(計算!$AG$9/2,0)*AE$10+ROUNDDOWN(計算!$AG$9/4,0)*AE$11))))/2,0))/2,0)/16,0)))/2,0),0)))</f>
        <v>0</v>
      </c>
      <c r="AF75" s="258"/>
      <c r="AG75" s="259">
        <f ca="1">IF(OR($H41="",AE$15=""),"",IF($I75="念",VLOOKUP("念じボール",敵技,6,0),IF($I75="叩",VLOOKUP("叩きつける",敵技,6,0),0))+MAX(1,ROUNDDOWN(IF(AE$9="あり",0.5,IF(AE$9="大防御",0.1,1))*ROUNDDOWN((ROUNDDOWN((計算!$I30-ROUNDDOWN((計算!$AG$9+MAX(-(計算!$AG$9),MIN(200,(ROUNDDOWN(計算!$AG$9/2,0)*AE$10+ROUNDDOWN(計算!$AG$9/4,0)*AE$11))))/2,0))/2,0)+(1+ROUNDDOWN(ROUNDDOWN((計算!$I30-ROUNDDOWN((計算!$AG$9+MAX(-(計算!$AG$9),MIN(200,(ROUNDDOWN(計算!$AG$9/2,0)*AE$10+ROUNDDOWN(計算!$AG$9/4,0)*AE$11))))/2,0))/2,0)/16,0)))/2,0),0)))</f>
        <v>1</v>
      </c>
      <c r="AH75" s="260"/>
      <c r="AI75" s="257">
        <f ca="1">IF(OR($H41="",AI$15=""),"",IF($I75="念",VLOOKUP("念じボール",敵技,6,0),IF($I75="叩",VLOOKUP("叩きつける",敵技,6,0),0))+MAX(0,ROUNDDOWN(IF(AI$9="あり",0.5,IF(AI$9="大防御",0.1,1))*ROUNDDOWN((ROUNDDOWN((計算!$I30-ROUNDDOWN((計算!$AG$10+MAX(-(計算!$AG$10),MIN(200,(ROUNDDOWN(計算!$AG$10/2,0)*AI$10+ROUNDDOWN(計算!$AG$10/4,0)*AI$11))))/2,0))/2,0)-(1+ROUNDDOWN(ROUNDDOWN((計算!$I30-ROUNDDOWN((計算!$AG$10+MAX(-(計算!$AG$10),MIN(200,(ROUNDDOWN(計算!$AG$10/2,0)*AI$10+ROUNDDOWN(計算!$AG$10/4,0)*AI$11))))/2,0))/2,0)/16,0)))/2,0),0)))</f>
        <v>0</v>
      </c>
      <c r="AJ75" s="258"/>
      <c r="AK75" s="259">
        <f ca="1">IF(OR($H41="",AI$15=""),"",IF($I75="念",VLOOKUP("念じボール",敵技,6,0),IF($I75="叩",VLOOKUP("叩きつける",敵技,6,0),0))+MAX(1,ROUNDDOWN(IF(AI$9="あり",0.5,IF(AI$9="大防御",0.1,1))*ROUNDDOWN((ROUNDDOWN((計算!$I30-ROUNDDOWN((計算!$AG$10+MAX(-(計算!$AG$10),MIN(200,(ROUNDDOWN(計算!$AG$10/2,0)*AI$10+ROUNDDOWN(計算!$AG$10/4,0)*AI$11))))/2,0))/2,0)+(1+ROUNDDOWN(ROUNDDOWN((計算!$I30-ROUNDDOWN((計算!$AG$10+MAX(-(計算!$AG$10),MIN(200,(ROUNDDOWN(計算!$AG$10/2,0)*AI$10+ROUNDDOWN(計算!$AG$10/4,0)*AI$11))))/2,0))/2,0)/16,0)))/2,0),0)))</f>
        <v>1</v>
      </c>
      <c r="AL75" s="260"/>
      <c r="AM75" s="257">
        <f ca="1">IF(OR($H41="",AM$15=""),"",IF($I75="念",VLOOKUP("念じボール",敵技,6,0),IF($I75="叩",VLOOKUP("叩きつける",敵技,6,0),0))+MAX(0,ROUNDDOWN(IF(AM$9="あり",0.5,IF(AM$9="大防御",0.1,1))*ROUNDDOWN((ROUNDDOWN((計算!$I30-ROUNDDOWN((計算!$AG$11+MAX(-(計算!$AG$11),MIN(200,(ROUNDDOWN(計算!$AG$11/2,0)*AM$10+ROUNDDOWN(計算!$AG$11/4,0)*AM$11))))/2,0))/2,0)-(1+ROUNDDOWN(ROUNDDOWN((計算!$I30-ROUNDDOWN((計算!$AG$11+MAX(-(計算!$AG$11),MIN(200,(ROUNDDOWN(計算!$AG$11/2,0)*AM$10+ROUNDDOWN(計算!$AG$11/4,0)*AM$11))))/2,0))/2,0)/16,0)))/2,0),0)))</f>
        <v>0</v>
      </c>
      <c r="AN75" s="258"/>
      <c r="AO75" s="259">
        <f ca="1">IF(OR($H41="",AM$15=""),"",IF($I75="念",VLOOKUP("念じボール",敵技,6,0),IF($I75="叩",VLOOKUP("叩きつける",敵技,6,0),0))+MAX(1,ROUNDDOWN(IF(AM$9="あり",0.5,IF(AM$9="大防御",0.1,1))*ROUNDDOWN((ROUNDDOWN((計算!$I30-ROUNDDOWN((計算!$AG$11+MAX(-(計算!$AG$11),MIN(200,(ROUNDDOWN(計算!$AG$11/2,0)*AM$10+ROUNDDOWN(計算!$AG$11/4,0)*AM$11))))/2,0))/2,0)+(1+ROUNDDOWN(ROUNDDOWN((計算!$I30-ROUNDDOWN((計算!$AG$11+MAX(-(計算!$AG$11),MIN(200,(ROUNDDOWN(計算!$AG$11/2,0)*AM$10+ROUNDDOWN(計算!$AG$11/4,0)*AM$11))))/2,0))/2,0)/16,0)))/2,0),0)))</f>
        <v>1</v>
      </c>
      <c r="AP75" s="260"/>
    </row>
    <row r="76" spans="2:42" x14ac:dyDescent="0.15">
      <c r="B76" s="9">
        <f t="shared" ca="1" si="153"/>
        <v>0</v>
      </c>
      <c r="C76" s="9">
        <f t="shared" ca="1" si="154"/>
        <v>0</v>
      </c>
      <c r="D76" s="9">
        <v>563</v>
      </c>
      <c r="H76" s="98" t="str">
        <f t="shared" ca="1" si="161"/>
        <v>デスタムーア3</v>
      </c>
      <c r="I76" s="108" t="str">
        <f>IF(計算!F39="","",VLOOKUP(計算!F39,敵技,4,0))</f>
        <v>イ</v>
      </c>
      <c r="J76" s="106" t="str">
        <f>IF(計算!F39="","",VLOOKUP(計算!F39,敵技,5,0))</f>
        <v>中</v>
      </c>
      <c r="K76" s="257">
        <f ca="1">IF(OR($H42="",K$15=""),"",IF($I76="念",VLOOKUP("念じボール",敵技,6,0),IF($I76="叩",VLOOKUP("叩きつける",敵技,6,0),0))+MAX(0,ROUNDDOWN(IF(K$9="あり",0.5,IF(K$9="大防御",0.1,1))*ROUNDDOWN((ROUNDDOWN((計算!$I31-ROUNDDOWN((計算!$AG$4+MAX(-(計算!$AG$4),MIN(200,(ROUNDDOWN(計算!$AG$4/2,0)*K$10+ROUNDDOWN(計算!$AG$4/4,0)*K$11))))/2,0))/2,0)-(1+ROUNDDOWN(ROUNDDOWN((計算!$I31-ROUNDDOWN((計算!$AG$4+MAX(-(計算!$AG$4),MIN(200,(ROUNDDOWN(計算!$AG$4/2,0)*K$10+ROUNDDOWN(計算!$AG$4/4,0)*K$11))))/2,0))/2,0)/16,0)))/2,0),0)))</f>
        <v>0</v>
      </c>
      <c r="L76" s="258"/>
      <c r="M76" s="259">
        <f ca="1">IF(OR($H42="",K$15=""),"",IF($I76="念",VLOOKUP("念じボール",敵技,6,0),IF($I76="叩",VLOOKUP("叩きつける",敵技,6,0),0))+MAX(1,ROUNDDOWN(IF(K$9="あり",0.5,IF(K$9="大防御",0.1,1))*ROUNDDOWN((ROUNDDOWN((計算!$I31-ROUNDDOWN((計算!$AG$4+MAX(-(計算!$AG$4),MIN(200,(ROUNDDOWN(計算!$AG$4/2,0)*K$10+ROUNDDOWN(計算!$AG$4/4,0)*K$11))))/2,0))/2,0)+(1+ROUNDDOWN(ROUNDDOWN((計算!$I31-ROUNDDOWN((計算!$AG$4+MAX(-(計算!$AG$4),MIN(200,(ROUNDDOWN(計算!$AG$4/2,0)*K$10+ROUNDDOWN(計算!$AG$4/4,0)*K$11))))/2,0))/2,0)/16,0)))/2,0),0)))</f>
        <v>1</v>
      </c>
      <c r="N76" s="260"/>
      <c r="O76" s="257">
        <f ca="1">IF(OR($H42="",O$15=""),"",IF($I76="念",VLOOKUP("念じボール",敵技,6,0),IF($I76="叩",VLOOKUP("叩きつける",敵技,6,0),0))+MAX(0,ROUNDDOWN(IF(O$9="あり",0.5,IF(O$9="大防御",0.1,1))*ROUNDDOWN((ROUNDDOWN((計算!$I31-ROUNDDOWN((計算!$AG$5+MAX(-(計算!$AG$5),MIN(200,(ROUNDDOWN(計算!$AG$5/2,0)*O$10+ROUNDDOWN(計算!$AG$5/4,0)*O$11))))/2,0))/2,0)-(1+ROUNDDOWN(ROUNDDOWN((計算!$I31-ROUNDDOWN((計算!$AG$5+MAX(-(計算!$AG$5),MIN(200,(ROUNDDOWN(計算!$AG$5/2,0)*O$10+ROUNDDOWN(計算!$AG$5/4,0)*O$11))))/2,0))/2,0)/16,0)))/2,0),0)))</f>
        <v>0</v>
      </c>
      <c r="P76" s="258"/>
      <c r="Q76" s="259">
        <f ca="1">IF(OR($H42="",O$15=""),"",IF($I76="念",VLOOKUP("念じボール",敵技,6,0),IF($I76="叩",VLOOKUP("叩きつける",敵技,6,0),0))+MAX(1,ROUNDDOWN(IF(O$9="あり",0.5,IF(O$9="大防御",0.1,1))*ROUNDDOWN((ROUNDDOWN((計算!$I31-ROUNDDOWN((計算!$AG$5+MAX(-(計算!$AG$5),MIN(200,(ROUNDDOWN(計算!$AG$5/2,0)*O$10+ROUNDDOWN(計算!$AG$5/4,0)*O$11))))/2,0))/2,0)+(1+ROUNDDOWN(ROUNDDOWN((計算!$I31-ROUNDDOWN((計算!$AG$5+MAX(-(計算!$AG$5),MIN(200,(ROUNDDOWN(計算!$AG$5/2,0)*O$10+ROUNDDOWN(計算!$AG$5/4,0)*O$11))))/2,0))/2,0)/16,0)))/2,0),0)))</f>
        <v>1</v>
      </c>
      <c r="R76" s="260"/>
      <c r="S76" s="257">
        <f ca="1">IF(OR($H42="",S$15=""),"",IF($I76="念",VLOOKUP("念じボール",敵技,6,0),IF($I76="叩",VLOOKUP("叩きつける",敵技,6,0),0))+MAX(0,ROUNDDOWN(IF(S$9="あり",0.5,IF(S$9="大防御",0.1,1))*ROUNDDOWN((ROUNDDOWN((計算!$I31-ROUNDDOWN((計算!$AG$6+MAX(-(計算!$AG$6),MIN(200,(ROUNDDOWN(計算!$AG$6/2,0)*S$10+ROUNDDOWN(計算!$AG$6/4,0)*S$11))))/2,0))/2,0)-(1+ROUNDDOWN(ROUNDDOWN((計算!$I31-ROUNDDOWN((計算!$AG$6+MAX(-(計算!$AG$6),MIN(200,(ROUNDDOWN(計算!$AG$6/2,0)*S$10+ROUNDDOWN(計算!$AG$6/4,0)*S$11))))/2,0))/2,0)/16,0)))/2,0),0)))</f>
        <v>0</v>
      </c>
      <c r="T76" s="258"/>
      <c r="U76" s="259">
        <f ca="1">IF(OR($H42="",S$15=""),"",IF($I76="念",VLOOKUP("念じボール",敵技,6,0),IF($I76="叩",VLOOKUP("叩きつける",敵技,6,0),0))+MAX(1,ROUNDDOWN(IF(S$9="あり",0.5,IF(S$9="大防御",0.1,1))*ROUNDDOWN((ROUNDDOWN((計算!$I31-ROUNDDOWN((計算!$AG$6+MAX(-(計算!$AG$6),MIN(200,(ROUNDDOWN(計算!$AG$6/2,0)*S$10+ROUNDDOWN(計算!$AG$6/4,0)*S$11))))/2,0))/2,0)+(1+ROUNDDOWN(ROUNDDOWN((計算!$I31-ROUNDDOWN((計算!$AG$6+MAX(-(計算!$AG$6),MIN(200,(ROUNDDOWN(計算!$AG$6/2,0)*S$10+ROUNDDOWN(計算!$AG$6/4,0)*S$11))))/2,0))/2,0)/16,0)))/2,0),0)))</f>
        <v>1</v>
      </c>
      <c r="V76" s="260"/>
      <c r="W76" s="257">
        <f ca="1">IF(OR($H42="",W$15=""),"",IF($I76="念",VLOOKUP("念じボール",敵技,6,0),IF($I76="叩",VLOOKUP("叩きつける",敵技,6,0),0))+MAX(0,ROUNDDOWN(IF(W$9="あり",0.5,IF(W$9="大防御",0.1,1))*ROUNDDOWN((ROUNDDOWN((計算!$I31-ROUNDDOWN((計算!$AG$7+MAX(-(計算!$AG$7),MIN(200,(ROUNDDOWN(計算!$AG$7/2,0)*W$10+ROUNDDOWN(計算!$AG$7/4,0)*W$11))))/2,0))/2,0)-(1+ROUNDDOWN(ROUNDDOWN((計算!$I31-ROUNDDOWN((計算!$AG$7+MAX(-(計算!$AG$7),MIN(200,(ROUNDDOWN(計算!$AG$7/2,0)*W$10+ROUNDDOWN(計算!$AG$7/4,0)*W$11))))/2,0))/2,0)/16,0)))/2,0),0)))</f>
        <v>0</v>
      </c>
      <c r="X76" s="258"/>
      <c r="Y76" s="259">
        <f ca="1">IF(OR($H42="",W$15=""),"",IF($I76="念",VLOOKUP("念じボール",敵技,6,0),IF($I76="叩",VLOOKUP("叩きつける",敵技,6,0),0))+MAX(1,ROUNDDOWN(IF(W$9="あり",0.5,IF(W$9="大防御",0.1,1))*ROUNDDOWN((ROUNDDOWN((計算!$I31-ROUNDDOWN((計算!$AG$7+MAX(-(計算!$AG$7),MIN(200,(ROUNDDOWN(計算!$AG$7/2,0)*W$10+ROUNDDOWN(計算!$AG$7/4,0)*W$11))))/2,0))/2,0)+(1+ROUNDDOWN(ROUNDDOWN((計算!$I31-ROUNDDOWN((計算!$AG$7+MAX(-(計算!$AG$7),MIN(200,(ROUNDDOWN(計算!$AG$7/2,0)*W$10+ROUNDDOWN(計算!$AG$7/4,0)*W$11))))/2,0))/2,0)/16,0)))/2,0),0)))</f>
        <v>1</v>
      </c>
      <c r="Z76" s="260"/>
      <c r="AA76" s="257">
        <f ca="1">IF(OR($H42="",AA$15=""),"",IF($I76="念",VLOOKUP("念じボール",敵技,6,0),IF($I76="叩",VLOOKUP("叩きつける",敵技,6,0),0))+MAX(0,ROUNDDOWN(IF(AA$9="あり",0.5,IF(AA$9="大防御",0.1,1))*ROUNDDOWN((ROUNDDOWN((計算!$I31-ROUNDDOWN((計算!$AG$8+MAX(-(計算!$AG$8),MIN(200,(ROUNDDOWN(計算!$AG$8/2,0)*AA$10+ROUNDDOWN(計算!$AG$8/4,0)*AA$11))))/2,0))/2,0)-(1+ROUNDDOWN(ROUNDDOWN((計算!$I31-ROUNDDOWN((計算!$AG$8+MAX(-(計算!$AG$8),MIN(200,(ROUNDDOWN(計算!$AG$8/2,0)*AA$10+ROUNDDOWN(計算!$AG$8/4,0)*AA$11))))/2,0))/2,0)/16,0)))/2,0),0)))</f>
        <v>0</v>
      </c>
      <c r="AB76" s="258"/>
      <c r="AC76" s="259">
        <f ca="1">IF(OR($H42="",AA$15=""),"",IF($I76="念",VLOOKUP("念じボール",敵技,6,0),IF($I76="叩",VLOOKUP("叩きつける",敵技,6,0),0))+MAX(1,ROUNDDOWN(IF(AA$9="あり",0.5,IF(AA$9="大防御",0.1,1))*ROUNDDOWN((ROUNDDOWN((計算!$I31-ROUNDDOWN((計算!$AG$8+MAX(-(計算!$AG$8),MIN(200,(ROUNDDOWN(計算!$AG$8/2,0)*AA$10+ROUNDDOWN(計算!$AG$8/4,0)*AA$11))))/2,0))/2,0)+(1+ROUNDDOWN(ROUNDDOWN((計算!$I31-ROUNDDOWN((計算!$AG$8+MAX(-(計算!$AG$8),MIN(200,(ROUNDDOWN(計算!$AG$8/2,0)*AA$10+ROUNDDOWN(計算!$AG$8/4,0)*AA$11))))/2,0))/2,0)/16,0)))/2,0),0)))</f>
        <v>1</v>
      </c>
      <c r="AD76" s="260"/>
      <c r="AE76" s="257">
        <f ca="1">IF(OR($H42="",AE$15=""),"",IF($I76="念",VLOOKUP("念じボール",敵技,6,0),IF($I76="叩",VLOOKUP("叩きつける",敵技,6,0),0))+MAX(0,ROUNDDOWN(IF(AE$9="あり",0.5,IF(AE$9="大防御",0.1,1))*ROUNDDOWN((ROUNDDOWN((計算!$I31-ROUNDDOWN((計算!$AG$9+MAX(-(計算!$AG$9),MIN(200,(ROUNDDOWN(計算!$AG$9/2,0)*AE$10+ROUNDDOWN(計算!$AG$9/4,0)*AE$11))))/2,0))/2,0)-(1+ROUNDDOWN(ROUNDDOWN((計算!$I31-ROUNDDOWN((計算!$AG$9+MAX(-(計算!$AG$9),MIN(200,(ROUNDDOWN(計算!$AG$9/2,0)*AE$10+ROUNDDOWN(計算!$AG$9/4,0)*AE$11))))/2,0))/2,0)/16,0)))/2,0),0)))</f>
        <v>0</v>
      </c>
      <c r="AF76" s="258"/>
      <c r="AG76" s="259">
        <f ca="1">IF(OR($H42="",AE$15=""),"",IF($I76="念",VLOOKUP("念じボール",敵技,6,0),IF($I76="叩",VLOOKUP("叩きつける",敵技,6,0),0))+MAX(1,ROUNDDOWN(IF(AE$9="あり",0.5,IF(AE$9="大防御",0.1,1))*ROUNDDOWN((ROUNDDOWN((計算!$I31-ROUNDDOWN((計算!$AG$9+MAX(-(計算!$AG$9),MIN(200,(ROUNDDOWN(計算!$AG$9/2,0)*AE$10+ROUNDDOWN(計算!$AG$9/4,0)*AE$11))))/2,0))/2,0)+(1+ROUNDDOWN(ROUNDDOWN((計算!$I31-ROUNDDOWN((計算!$AG$9+MAX(-(計算!$AG$9),MIN(200,(ROUNDDOWN(計算!$AG$9/2,0)*AE$10+ROUNDDOWN(計算!$AG$9/4,0)*AE$11))))/2,0))/2,0)/16,0)))/2,0),0)))</f>
        <v>1</v>
      </c>
      <c r="AH76" s="260"/>
      <c r="AI76" s="257">
        <f ca="1">IF(OR($H42="",AI$15=""),"",IF($I76="念",VLOOKUP("念じボール",敵技,6,0),IF($I76="叩",VLOOKUP("叩きつける",敵技,6,0),0))+MAX(0,ROUNDDOWN(IF(AI$9="あり",0.5,IF(AI$9="大防御",0.1,1))*ROUNDDOWN((ROUNDDOWN((計算!$I31-ROUNDDOWN((計算!$AG$10+MAX(-(計算!$AG$10),MIN(200,(ROUNDDOWN(計算!$AG$10/2,0)*AI$10+ROUNDDOWN(計算!$AG$10/4,0)*AI$11))))/2,0))/2,0)-(1+ROUNDDOWN(ROUNDDOWN((計算!$I31-ROUNDDOWN((計算!$AG$10+MAX(-(計算!$AG$10),MIN(200,(ROUNDDOWN(計算!$AG$10/2,0)*AI$10+ROUNDDOWN(計算!$AG$10/4,0)*AI$11))))/2,0))/2,0)/16,0)))/2,0),0)))</f>
        <v>0</v>
      </c>
      <c r="AJ76" s="258"/>
      <c r="AK76" s="259">
        <f ca="1">IF(OR($H42="",AI$15=""),"",IF($I76="念",VLOOKUP("念じボール",敵技,6,0),IF($I76="叩",VLOOKUP("叩きつける",敵技,6,0),0))+MAX(1,ROUNDDOWN(IF(AI$9="あり",0.5,IF(AI$9="大防御",0.1,1))*ROUNDDOWN((ROUNDDOWN((計算!$I31-ROUNDDOWN((計算!$AG$10+MAX(-(計算!$AG$10),MIN(200,(ROUNDDOWN(計算!$AG$10/2,0)*AI$10+ROUNDDOWN(計算!$AG$10/4,0)*AI$11))))/2,0))/2,0)+(1+ROUNDDOWN(ROUNDDOWN((計算!$I31-ROUNDDOWN((計算!$AG$10+MAX(-(計算!$AG$10),MIN(200,(ROUNDDOWN(計算!$AG$10/2,0)*AI$10+ROUNDDOWN(計算!$AG$10/4,0)*AI$11))))/2,0))/2,0)/16,0)))/2,0),0)))</f>
        <v>1</v>
      </c>
      <c r="AL76" s="260"/>
      <c r="AM76" s="257">
        <f ca="1">IF(OR($H42="",AM$15=""),"",IF($I76="念",VLOOKUP("念じボール",敵技,6,0),IF($I76="叩",VLOOKUP("叩きつける",敵技,6,0),0))+MAX(0,ROUNDDOWN(IF(AM$9="あり",0.5,IF(AM$9="大防御",0.1,1))*ROUNDDOWN((ROUNDDOWN((計算!$I31-ROUNDDOWN((計算!$AG$11+MAX(-(計算!$AG$11),MIN(200,(ROUNDDOWN(計算!$AG$11/2,0)*AM$10+ROUNDDOWN(計算!$AG$11/4,0)*AM$11))))/2,0))/2,0)-(1+ROUNDDOWN(ROUNDDOWN((計算!$I31-ROUNDDOWN((計算!$AG$11+MAX(-(計算!$AG$11),MIN(200,(ROUNDDOWN(計算!$AG$11/2,0)*AM$10+ROUNDDOWN(計算!$AG$11/4,0)*AM$11))))/2,0))/2,0)/16,0)))/2,0),0)))</f>
        <v>0</v>
      </c>
      <c r="AN76" s="258"/>
      <c r="AO76" s="259">
        <f ca="1">IF(OR($H42="",AM$15=""),"",IF($I76="念",VLOOKUP("念じボール",敵技,6,0),IF($I76="叩",VLOOKUP("叩きつける",敵技,6,0),0))+MAX(1,ROUNDDOWN(IF(AM$9="あり",0.5,IF(AM$9="大防御",0.1,1))*ROUNDDOWN((ROUNDDOWN((計算!$I31-ROUNDDOWN((計算!$AG$11+MAX(-(計算!$AG$11),MIN(200,(ROUNDDOWN(計算!$AG$11/2,0)*AM$10+ROUNDDOWN(計算!$AG$11/4,0)*AM$11))))/2,0))/2,0)+(1+ROUNDDOWN(ROUNDDOWN((計算!$I31-ROUNDDOWN((計算!$AG$11+MAX(-(計算!$AG$11),MIN(200,(ROUNDDOWN(計算!$AG$11/2,0)*AM$10+ROUNDDOWN(計算!$AG$11/4,0)*AM$11))))/2,0))/2,0)/16,0)))/2,0),0)))</f>
        <v>1</v>
      </c>
      <c r="AP76" s="260"/>
    </row>
    <row r="77" spans="2:42" x14ac:dyDescent="0.15">
      <c r="B77" s="9">
        <f t="shared" ca="1" si="153"/>
        <v>0</v>
      </c>
      <c r="C77" s="9">
        <f t="shared" ca="1" si="154"/>
        <v>0</v>
      </c>
      <c r="D77" s="9">
        <v>571</v>
      </c>
      <c r="H77" s="98" t="str">
        <f t="shared" ca="1" si="161"/>
        <v>デスタムーア3</v>
      </c>
      <c r="I77" s="108" t="str">
        <f>IF(計算!F40="","",VLOOKUP(計算!F40,敵技,4,0))</f>
        <v>炎</v>
      </c>
      <c r="J77" s="106" t="str">
        <f>IF(計算!F40="","",VLOOKUP(計算!F40,敵技,5,0))</f>
        <v>高</v>
      </c>
      <c r="K77" s="257">
        <f ca="1">IF(OR($H43="",K$15=""),"",IF($I77="念",VLOOKUP("念じボール",敵技,6,0),IF($I77="叩",VLOOKUP("叩きつける",敵技,6,0),0))+MAX(0,ROUNDDOWN(IF(K$9="あり",0.5,IF(K$9="大防御",0.1,1))*ROUNDDOWN((ROUNDDOWN((計算!$I32-ROUNDDOWN((計算!$AG$4+MAX(-(計算!$AG$4),MIN(200,(ROUNDDOWN(計算!$AG$4/2,0)*K$10+ROUNDDOWN(計算!$AG$4/4,0)*K$11))))/2,0))/2,0)-(1+ROUNDDOWN(ROUNDDOWN((計算!$I32-ROUNDDOWN((計算!$AG$4+MAX(-(計算!$AG$4),MIN(200,(ROUNDDOWN(計算!$AG$4/2,0)*K$10+ROUNDDOWN(計算!$AG$4/4,0)*K$11))))/2,0))/2,0)/16,0)))/2,0),0)))</f>
        <v>0</v>
      </c>
      <c r="L77" s="258"/>
      <c r="M77" s="259">
        <f ca="1">IF(OR($H43="",K$15=""),"",IF($I77="念",VLOOKUP("念じボール",敵技,6,0),IF($I77="叩",VLOOKUP("叩きつける",敵技,6,0),0))+MAX(1,ROUNDDOWN(IF(K$9="あり",0.5,IF(K$9="大防御",0.1,1))*ROUNDDOWN((ROUNDDOWN((計算!$I32-ROUNDDOWN((計算!$AG$4+MAX(-(計算!$AG$4),MIN(200,(ROUNDDOWN(計算!$AG$4/2,0)*K$10+ROUNDDOWN(計算!$AG$4/4,0)*K$11))))/2,0))/2,0)+(1+ROUNDDOWN(ROUNDDOWN((計算!$I32-ROUNDDOWN((計算!$AG$4+MAX(-(計算!$AG$4),MIN(200,(ROUNDDOWN(計算!$AG$4/2,0)*K$10+ROUNDDOWN(計算!$AG$4/4,0)*K$11))))/2,0))/2,0)/16,0)))/2,0),0)))</f>
        <v>1</v>
      </c>
      <c r="N77" s="260"/>
      <c r="O77" s="257">
        <f ca="1">IF(OR($H43="",O$15=""),"",IF($I77="念",VLOOKUP("念じボール",敵技,6,0),IF($I77="叩",VLOOKUP("叩きつける",敵技,6,0),0))+MAX(0,ROUNDDOWN(IF(O$9="あり",0.5,IF(O$9="大防御",0.1,1))*ROUNDDOWN((ROUNDDOWN((計算!$I32-ROUNDDOWN((計算!$AG$5+MAX(-(計算!$AG$5),MIN(200,(ROUNDDOWN(計算!$AG$5/2,0)*O$10+ROUNDDOWN(計算!$AG$5/4,0)*O$11))))/2,0))/2,0)-(1+ROUNDDOWN(ROUNDDOWN((計算!$I32-ROUNDDOWN((計算!$AG$5+MAX(-(計算!$AG$5),MIN(200,(ROUNDDOWN(計算!$AG$5/2,0)*O$10+ROUNDDOWN(計算!$AG$5/4,0)*O$11))))/2,0))/2,0)/16,0)))/2,0),0)))</f>
        <v>0</v>
      </c>
      <c r="P77" s="258"/>
      <c r="Q77" s="259">
        <f ca="1">IF(OR($H43="",O$15=""),"",IF($I77="念",VLOOKUP("念じボール",敵技,6,0),IF($I77="叩",VLOOKUP("叩きつける",敵技,6,0),0))+MAX(1,ROUNDDOWN(IF(O$9="あり",0.5,IF(O$9="大防御",0.1,1))*ROUNDDOWN((ROUNDDOWN((計算!$I32-ROUNDDOWN((計算!$AG$5+MAX(-(計算!$AG$5),MIN(200,(ROUNDDOWN(計算!$AG$5/2,0)*O$10+ROUNDDOWN(計算!$AG$5/4,0)*O$11))))/2,0))/2,0)+(1+ROUNDDOWN(ROUNDDOWN((計算!$I32-ROUNDDOWN((計算!$AG$5+MAX(-(計算!$AG$5),MIN(200,(ROUNDDOWN(計算!$AG$5/2,0)*O$10+ROUNDDOWN(計算!$AG$5/4,0)*O$11))))/2,0))/2,0)/16,0)))/2,0),0)))</f>
        <v>1</v>
      </c>
      <c r="R77" s="260"/>
      <c r="S77" s="257">
        <f ca="1">IF(OR($H43="",S$15=""),"",IF($I77="念",VLOOKUP("念じボール",敵技,6,0),IF($I77="叩",VLOOKUP("叩きつける",敵技,6,0),0))+MAX(0,ROUNDDOWN(IF(S$9="あり",0.5,IF(S$9="大防御",0.1,1))*ROUNDDOWN((ROUNDDOWN((計算!$I32-ROUNDDOWN((計算!$AG$6+MAX(-(計算!$AG$6),MIN(200,(ROUNDDOWN(計算!$AG$6/2,0)*S$10+ROUNDDOWN(計算!$AG$6/4,0)*S$11))))/2,0))/2,0)-(1+ROUNDDOWN(ROUNDDOWN((計算!$I32-ROUNDDOWN((計算!$AG$6+MAX(-(計算!$AG$6),MIN(200,(ROUNDDOWN(計算!$AG$6/2,0)*S$10+ROUNDDOWN(計算!$AG$6/4,0)*S$11))))/2,0))/2,0)/16,0)))/2,0),0)))</f>
        <v>0</v>
      </c>
      <c r="T77" s="258"/>
      <c r="U77" s="259">
        <f ca="1">IF(OR($H43="",S$15=""),"",IF($I77="念",VLOOKUP("念じボール",敵技,6,0),IF($I77="叩",VLOOKUP("叩きつける",敵技,6,0),0))+MAX(1,ROUNDDOWN(IF(S$9="あり",0.5,IF(S$9="大防御",0.1,1))*ROUNDDOWN((ROUNDDOWN((計算!$I32-ROUNDDOWN((計算!$AG$6+MAX(-(計算!$AG$6),MIN(200,(ROUNDDOWN(計算!$AG$6/2,0)*S$10+ROUNDDOWN(計算!$AG$6/4,0)*S$11))))/2,0))/2,0)+(1+ROUNDDOWN(ROUNDDOWN((計算!$I32-ROUNDDOWN((計算!$AG$6+MAX(-(計算!$AG$6),MIN(200,(ROUNDDOWN(計算!$AG$6/2,0)*S$10+ROUNDDOWN(計算!$AG$6/4,0)*S$11))))/2,0))/2,0)/16,0)))/2,0),0)))</f>
        <v>1</v>
      </c>
      <c r="V77" s="260"/>
      <c r="W77" s="257">
        <f ca="1">IF(OR($H43="",W$15=""),"",IF($I77="念",VLOOKUP("念じボール",敵技,6,0),IF($I77="叩",VLOOKUP("叩きつける",敵技,6,0),0))+MAX(0,ROUNDDOWN(IF(W$9="あり",0.5,IF(W$9="大防御",0.1,1))*ROUNDDOWN((ROUNDDOWN((計算!$I32-ROUNDDOWN((計算!$AG$7+MAX(-(計算!$AG$7),MIN(200,(ROUNDDOWN(計算!$AG$7/2,0)*W$10+ROUNDDOWN(計算!$AG$7/4,0)*W$11))))/2,0))/2,0)-(1+ROUNDDOWN(ROUNDDOWN((計算!$I32-ROUNDDOWN((計算!$AG$7+MAX(-(計算!$AG$7),MIN(200,(ROUNDDOWN(計算!$AG$7/2,0)*W$10+ROUNDDOWN(計算!$AG$7/4,0)*W$11))))/2,0))/2,0)/16,0)))/2,0),0)))</f>
        <v>0</v>
      </c>
      <c r="X77" s="258"/>
      <c r="Y77" s="259">
        <f ca="1">IF(OR($H43="",W$15=""),"",IF($I77="念",VLOOKUP("念じボール",敵技,6,0),IF($I77="叩",VLOOKUP("叩きつける",敵技,6,0),0))+MAX(1,ROUNDDOWN(IF(W$9="あり",0.5,IF(W$9="大防御",0.1,1))*ROUNDDOWN((ROUNDDOWN((計算!$I32-ROUNDDOWN((計算!$AG$7+MAX(-(計算!$AG$7),MIN(200,(ROUNDDOWN(計算!$AG$7/2,0)*W$10+ROUNDDOWN(計算!$AG$7/4,0)*W$11))))/2,0))/2,0)+(1+ROUNDDOWN(ROUNDDOWN((計算!$I32-ROUNDDOWN((計算!$AG$7+MAX(-(計算!$AG$7),MIN(200,(ROUNDDOWN(計算!$AG$7/2,0)*W$10+ROUNDDOWN(計算!$AG$7/4,0)*W$11))))/2,0))/2,0)/16,0)))/2,0),0)))</f>
        <v>1</v>
      </c>
      <c r="Z77" s="260"/>
      <c r="AA77" s="257">
        <f ca="1">IF(OR($H43="",AA$15=""),"",IF($I77="念",VLOOKUP("念じボール",敵技,6,0),IF($I77="叩",VLOOKUP("叩きつける",敵技,6,0),0))+MAX(0,ROUNDDOWN(IF(AA$9="あり",0.5,IF(AA$9="大防御",0.1,1))*ROUNDDOWN((ROUNDDOWN((計算!$I32-ROUNDDOWN((計算!$AG$8+MAX(-(計算!$AG$8),MIN(200,(ROUNDDOWN(計算!$AG$8/2,0)*AA$10+ROUNDDOWN(計算!$AG$8/4,0)*AA$11))))/2,0))/2,0)-(1+ROUNDDOWN(ROUNDDOWN((計算!$I32-ROUNDDOWN((計算!$AG$8+MAX(-(計算!$AG$8),MIN(200,(ROUNDDOWN(計算!$AG$8/2,0)*AA$10+ROUNDDOWN(計算!$AG$8/4,0)*AA$11))))/2,0))/2,0)/16,0)))/2,0),0)))</f>
        <v>0</v>
      </c>
      <c r="AB77" s="258"/>
      <c r="AC77" s="259">
        <f ca="1">IF(OR($H43="",AA$15=""),"",IF($I77="念",VLOOKUP("念じボール",敵技,6,0),IF($I77="叩",VLOOKUP("叩きつける",敵技,6,0),0))+MAX(1,ROUNDDOWN(IF(AA$9="あり",0.5,IF(AA$9="大防御",0.1,1))*ROUNDDOWN((ROUNDDOWN((計算!$I32-ROUNDDOWN((計算!$AG$8+MAX(-(計算!$AG$8),MIN(200,(ROUNDDOWN(計算!$AG$8/2,0)*AA$10+ROUNDDOWN(計算!$AG$8/4,0)*AA$11))))/2,0))/2,0)+(1+ROUNDDOWN(ROUNDDOWN((計算!$I32-ROUNDDOWN((計算!$AG$8+MAX(-(計算!$AG$8),MIN(200,(ROUNDDOWN(計算!$AG$8/2,0)*AA$10+ROUNDDOWN(計算!$AG$8/4,0)*AA$11))))/2,0))/2,0)/16,0)))/2,0),0)))</f>
        <v>1</v>
      </c>
      <c r="AD77" s="260"/>
      <c r="AE77" s="257">
        <f ca="1">IF(OR($H43="",AE$15=""),"",IF($I77="念",VLOOKUP("念じボール",敵技,6,0),IF($I77="叩",VLOOKUP("叩きつける",敵技,6,0),0))+MAX(0,ROUNDDOWN(IF(AE$9="あり",0.5,IF(AE$9="大防御",0.1,1))*ROUNDDOWN((ROUNDDOWN((計算!$I32-ROUNDDOWN((計算!$AG$9+MAX(-(計算!$AG$9),MIN(200,(ROUNDDOWN(計算!$AG$9/2,0)*AE$10+ROUNDDOWN(計算!$AG$9/4,0)*AE$11))))/2,0))/2,0)-(1+ROUNDDOWN(ROUNDDOWN((計算!$I32-ROUNDDOWN((計算!$AG$9+MAX(-(計算!$AG$9),MIN(200,(ROUNDDOWN(計算!$AG$9/2,0)*AE$10+ROUNDDOWN(計算!$AG$9/4,0)*AE$11))))/2,0))/2,0)/16,0)))/2,0),0)))</f>
        <v>0</v>
      </c>
      <c r="AF77" s="258"/>
      <c r="AG77" s="259">
        <f ca="1">IF(OR($H43="",AE$15=""),"",IF($I77="念",VLOOKUP("念じボール",敵技,6,0),IF($I77="叩",VLOOKUP("叩きつける",敵技,6,0),0))+MAX(1,ROUNDDOWN(IF(AE$9="あり",0.5,IF(AE$9="大防御",0.1,1))*ROUNDDOWN((ROUNDDOWN((計算!$I32-ROUNDDOWN((計算!$AG$9+MAX(-(計算!$AG$9),MIN(200,(ROUNDDOWN(計算!$AG$9/2,0)*AE$10+ROUNDDOWN(計算!$AG$9/4,0)*AE$11))))/2,0))/2,0)+(1+ROUNDDOWN(ROUNDDOWN((計算!$I32-ROUNDDOWN((計算!$AG$9+MAX(-(計算!$AG$9),MIN(200,(ROUNDDOWN(計算!$AG$9/2,0)*AE$10+ROUNDDOWN(計算!$AG$9/4,0)*AE$11))))/2,0))/2,0)/16,0)))/2,0),0)))</f>
        <v>1</v>
      </c>
      <c r="AH77" s="260"/>
      <c r="AI77" s="257">
        <f ca="1">IF(OR($H43="",AI$15=""),"",IF($I77="念",VLOOKUP("念じボール",敵技,6,0),IF($I77="叩",VLOOKUP("叩きつける",敵技,6,0),0))+MAX(0,ROUNDDOWN(IF(AI$9="あり",0.5,IF(AI$9="大防御",0.1,1))*ROUNDDOWN((ROUNDDOWN((計算!$I32-ROUNDDOWN((計算!$AG$10+MAX(-(計算!$AG$10),MIN(200,(ROUNDDOWN(計算!$AG$10/2,0)*AI$10+ROUNDDOWN(計算!$AG$10/4,0)*AI$11))))/2,0))/2,0)-(1+ROUNDDOWN(ROUNDDOWN((計算!$I32-ROUNDDOWN((計算!$AG$10+MAX(-(計算!$AG$10),MIN(200,(ROUNDDOWN(計算!$AG$10/2,0)*AI$10+ROUNDDOWN(計算!$AG$10/4,0)*AI$11))))/2,0))/2,0)/16,0)))/2,0),0)))</f>
        <v>0</v>
      </c>
      <c r="AJ77" s="258"/>
      <c r="AK77" s="259">
        <f ca="1">IF(OR($H43="",AI$15=""),"",IF($I77="念",VLOOKUP("念じボール",敵技,6,0),IF($I77="叩",VLOOKUP("叩きつける",敵技,6,0),0))+MAX(1,ROUNDDOWN(IF(AI$9="あり",0.5,IF(AI$9="大防御",0.1,1))*ROUNDDOWN((ROUNDDOWN((計算!$I32-ROUNDDOWN((計算!$AG$10+MAX(-(計算!$AG$10),MIN(200,(ROUNDDOWN(計算!$AG$10/2,0)*AI$10+ROUNDDOWN(計算!$AG$10/4,0)*AI$11))))/2,0))/2,0)+(1+ROUNDDOWN(ROUNDDOWN((計算!$I32-ROUNDDOWN((計算!$AG$10+MAX(-(計算!$AG$10),MIN(200,(ROUNDDOWN(計算!$AG$10/2,0)*AI$10+ROUNDDOWN(計算!$AG$10/4,0)*AI$11))))/2,0))/2,0)/16,0)))/2,0),0)))</f>
        <v>1</v>
      </c>
      <c r="AL77" s="260"/>
      <c r="AM77" s="257">
        <f ca="1">IF(OR($H43="",AM$15=""),"",IF($I77="念",VLOOKUP("念じボール",敵技,6,0),IF($I77="叩",VLOOKUP("叩きつける",敵技,6,0),0))+MAX(0,ROUNDDOWN(IF(AM$9="あり",0.5,IF(AM$9="大防御",0.1,1))*ROUNDDOWN((ROUNDDOWN((計算!$I32-ROUNDDOWN((計算!$AG$11+MAX(-(計算!$AG$11),MIN(200,(ROUNDDOWN(計算!$AG$11/2,0)*AM$10+ROUNDDOWN(計算!$AG$11/4,0)*AM$11))))/2,0))/2,0)-(1+ROUNDDOWN(ROUNDDOWN((計算!$I32-ROUNDDOWN((計算!$AG$11+MAX(-(計算!$AG$11),MIN(200,(ROUNDDOWN(計算!$AG$11/2,0)*AM$10+ROUNDDOWN(計算!$AG$11/4,0)*AM$11))))/2,0))/2,0)/16,0)))/2,0),0)))</f>
        <v>0</v>
      </c>
      <c r="AN77" s="258"/>
      <c r="AO77" s="259">
        <f ca="1">IF(OR($H43="",AM$15=""),"",IF($I77="念",VLOOKUP("念じボール",敵技,6,0),IF($I77="叩",VLOOKUP("叩きつける",敵技,6,0),0))+MAX(1,ROUNDDOWN(IF(AM$9="あり",0.5,IF(AM$9="大防御",0.1,1))*ROUNDDOWN((ROUNDDOWN((計算!$I32-ROUNDDOWN((計算!$AG$11+MAX(-(計算!$AG$11),MIN(200,(ROUNDDOWN(計算!$AG$11/2,0)*AM$10+ROUNDDOWN(計算!$AG$11/4,0)*AM$11))))/2,0))/2,0)+(1+ROUNDDOWN(ROUNDDOWN((計算!$I32-ROUNDDOWN((計算!$AG$11+MAX(-(計算!$AG$11),MIN(200,(ROUNDDOWN(計算!$AG$11/2,0)*AM$10+ROUNDDOWN(計算!$AG$11/4,0)*AM$11))))/2,0))/2,0)/16,0)))/2,0),0)))</f>
        <v>1</v>
      </c>
      <c r="AP77" s="260"/>
    </row>
    <row r="78" spans="2:42" x14ac:dyDescent="0.15">
      <c r="B78" s="9">
        <f t="shared" ca="1" si="153"/>
        <v>0</v>
      </c>
      <c r="C78" s="9">
        <f t="shared" ca="1" si="154"/>
        <v>0</v>
      </c>
      <c r="D78" s="9">
        <v>579</v>
      </c>
      <c r="H78" s="98" t="str">
        <f t="shared" ca="1" si="161"/>
        <v>ひだりて</v>
      </c>
      <c r="I78" s="108" t="str">
        <f>IF(計算!F41="","",VLOOKUP(計算!F41,敵技,4,0))</f>
        <v>叩</v>
      </c>
      <c r="J78" s="106" t="str">
        <f>IF(計算!F41="","",VLOOKUP(計算!F41,敵技,5,0))</f>
        <v>物理</v>
      </c>
      <c r="K78" s="257">
        <f ca="1">IF(OR($H44="",K$15=""),"",IF($I78="念",VLOOKUP("念じボール",敵技,6,0),IF($I78="叩",VLOOKUP("叩きつける",敵技,6,0),0))+MAX(0,ROUNDDOWN(IF(K$9="あり",0.5,IF(K$9="大防御",0.1,1))*ROUNDDOWN((ROUNDDOWN((計算!$I33-ROUNDDOWN((計算!$AG$4+MAX(-(計算!$AG$4),MIN(200,(ROUNDDOWN(計算!$AG$4/2,0)*K$10+ROUNDDOWN(計算!$AG$4/4,0)*K$11))))/2,0))/2,0)-(1+ROUNDDOWN(ROUNDDOWN((計算!$I33-ROUNDDOWN((計算!$AG$4+MAX(-(計算!$AG$4),MIN(200,(ROUNDDOWN(計算!$AG$4/2,0)*K$10+ROUNDDOWN(計算!$AG$4/4,0)*K$11))))/2,0))/2,0)/16,0)))/2,0),0)))</f>
        <v>100</v>
      </c>
      <c r="L78" s="258"/>
      <c r="M78" s="259">
        <f ca="1">IF(OR($H44="",K$15=""),"",IF($I78="念",VLOOKUP("念じボール",敵技,6,0),IF($I78="叩",VLOOKUP("叩きつける",敵技,6,0),0))+MAX(1,ROUNDDOWN(IF(K$9="あり",0.5,IF(K$9="大防御",0.1,1))*ROUNDDOWN((ROUNDDOWN((計算!$I33-ROUNDDOWN((計算!$AG$4+MAX(-(計算!$AG$4),MIN(200,(ROUNDDOWN(計算!$AG$4/2,0)*K$10+ROUNDDOWN(計算!$AG$4/4,0)*K$11))))/2,0))/2,0)+(1+ROUNDDOWN(ROUNDDOWN((計算!$I33-ROUNDDOWN((計算!$AG$4+MAX(-(計算!$AG$4),MIN(200,(ROUNDDOWN(計算!$AG$4/2,0)*K$10+ROUNDDOWN(計算!$AG$4/4,0)*K$11))))/2,0))/2,0)/16,0)))/2,0),0)))</f>
        <v>101</v>
      </c>
      <c r="N78" s="260"/>
      <c r="O78" s="257">
        <f ca="1">IF(OR($H44="",O$15=""),"",IF($I78="念",VLOOKUP("念じボール",敵技,6,0),IF($I78="叩",VLOOKUP("叩きつける",敵技,6,0),0))+MAX(0,ROUNDDOWN(IF(O$9="あり",0.5,IF(O$9="大防御",0.1,1))*ROUNDDOWN((ROUNDDOWN((計算!$I33-ROUNDDOWN((計算!$AG$5+MAX(-(計算!$AG$5),MIN(200,(ROUNDDOWN(計算!$AG$5/2,0)*O$10+ROUNDDOWN(計算!$AG$5/4,0)*O$11))))/2,0))/2,0)-(1+ROUNDDOWN(ROUNDDOWN((計算!$I33-ROUNDDOWN((計算!$AG$5+MAX(-(計算!$AG$5),MIN(200,(ROUNDDOWN(計算!$AG$5/2,0)*O$10+ROUNDDOWN(計算!$AG$5/4,0)*O$11))))/2,0))/2,0)/16,0)))/2,0),0)))</f>
        <v>100</v>
      </c>
      <c r="P78" s="258"/>
      <c r="Q78" s="259">
        <f ca="1">IF(OR($H44="",O$15=""),"",IF($I78="念",VLOOKUP("念じボール",敵技,6,0),IF($I78="叩",VLOOKUP("叩きつける",敵技,6,0),0))+MAX(1,ROUNDDOWN(IF(O$9="あり",0.5,IF(O$9="大防御",0.1,1))*ROUNDDOWN((ROUNDDOWN((計算!$I33-ROUNDDOWN((計算!$AG$5+MAX(-(計算!$AG$5),MIN(200,(ROUNDDOWN(計算!$AG$5/2,0)*O$10+ROUNDDOWN(計算!$AG$5/4,0)*O$11))))/2,0))/2,0)+(1+ROUNDDOWN(ROUNDDOWN((計算!$I33-ROUNDDOWN((計算!$AG$5+MAX(-(計算!$AG$5),MIN(200,(ROUNDDOWN(計算!$AG$5/2,0)*O$10+ROUNDDOWN(計算!$AG$5/4,0)*O$11))))/2,0))/2,0)/16,0)))/2,0),0)))</f>
        <v>101</v>
      </c>
      <c r="R78" s="260"/>
      <c r="S78" s="257">
        <f ca="1">IF(OR($H44="",S$15=""),"",IF($I78="念",VLOOKUP("念じボール",敵技,6,0),IF($I78="叩",VLOOKUP("叩きつける",敵技,6,0),0))+MAX(0,ROUNDDOWN(IF(S$9="あり",0.5,IF(S$9="大防御",0.1,1))*ROUNDDOWN((ROUNDDOWN((計算!$I33-ROUNDDOWN((計算!$AG$6+MAX(-(計算!$AG$6),MIN(200,(ROUNDDOWN(計算!$AG$6/2,0)*S$10+ROUNDDOWN(計算!$AG$6/4,0)*S$11))))/2,0))/2,0)-(1+ROUNDDOWN(ROUNDDOWN((計算!$I33-ROUNDDOWN((計算!$AG$6+MAX(-(計算!$AG$6),MIN(200,(ROUNDDOWN(計算!$AG$6/2,0)*S$10+ROUNDDOWN(計算!$AG$6/4,0)*S$11))))/2,0))/2,0)/16,0)))/2,0),0)))</f>
        <v>100</v>
      </c>
      <c r="T78" s="258"/>
      <c r="U78" s="259">
        <f ca="1">IF(OR($H44="",S$15=""),"",IF($I78="念",VLOOKUP("念じボール",敵技,6,0),IF($I78="叩",VLOOKUP("叩きつける",敵技,6,0),0))+MAX(1,ROUNDDOWN(IF(S$9="あり",0.5,IF(S$9="大防御",0.1,1))*ROUNDDOWN((ROUNDDOWN((計算!$I33-ROUNDDOWN((計算!$AG$6+MAX(-(計算!$AG$6),MIN(200,(ROUNDDOWN(計算!$AG$6/2,0)*S$10+ROUNDDOWN(計算!$AG$6/4,0)*S$11))))/2,0))/2,0)+(1+ROUNDDOWN(ROUNDDOWN((計算!$I33-ROUNDDOWN((計算!$AG$6+MAX(-(計算!$AG$6),MIN(200,(ROUNDDOWN(計算!$AG$6/2,0)*S$10+ROUNDDOWN(計算!$AG$6/4,0)*S$11))))/2,0))/2,0)/16,0)))/2,0),0)))</f>
        <v>101</v>
      </c>
      <c r="V78" s="260"/>
      <c r="W78" s="257">
        <f ca="1">IF(OR($H44="",W$15=""),"",IF($I78="念",VLOOKUP("念じボール",敵技,6,0),IF($I78="叩",VLOOKUP("叩きつける",敵技,6,0),0))+MAX(0,ROUNDDOWN(IF(W$9="あり",0.5,IF(W$9="大防御",0.1,1))*ROUNDDOWN((ROUNDDOWN((計算!$I33-ROUNDDOWN((計算!$AG$7+MAX(-(計算!$AG$7),MIN(200,(ROUNDDOWN(計算!$AG$7/2,0)*W$10+ROUNDDOWN(計算!$AG$7/4,0)*W$11))))/2,0))/2,0)-(1+ROUNDDOWN(ROUNDDOWN((計算!$I33-ROUNDDOWN((計算!$AG$7+MAX(-(計算!$AG$7),MIN(200,(ROUNDDOWN(計算!$AG$7/2,0)*W$10+ROUNDDOWN(計算!$AG$7/4,0)*W$11))))/2,0))/2,0)/16,0)))/2,0),0)))</f>
        <v>100</v>
      </c>
      <c r="X78" s="258"/>
      <c r="Y78" s="259">
        <f ca="1">IF(OR($H44="",W$15=""),"",IF($I78="念",VLOOKUP("念じボール",敵技,6,0),IF($I78="叩",VLOOKUP("叩きつける",敵技,6,0),0))+MAX(1,ROUNDDOWN(IF(W$9="あり",0.5,IF(W$9="大防御",0.1,1))*ROUNDDOWN((ROUNDDOWN((計算!$I33-ROUNDDOWN((計算!$AG$7+MAX(-(計算!$AG$7),MIN(200,(ROUNDDOWN(計算!$AG$7/2,0)*W$10+ROUNDDOWN(計算!$AG$7/4,0)*W$11))))/2,0))/2,0)+(1+ROUNDDOWN(ROUNDDOWN((計算!$I33-ROUNDDOWN((計算!$AG$7+MAX(-(計算!$AG$7),MIN(200,(ROUNDDOWN(計算!$AG$7/2,0)*W$10+ROUNDDOWN(計算!$AG$7/4,0)*W$11))))/2,0))/2,0)/16,0)))/2,0),0)))</f>
        <v>101</v>
      </c>
      <c r="Z78" s="260"/>
      <c r="AA78" s="257">
        <f ca="1">IF(OR($H44="",AA$15=""),"",IF($I78="念",VLOOKUP("念じボール",敵技,6,0),IF($I78="叩",VLOOKUP("叩きつける",敵技,6,0),0))+MAX(0,ROUNDDOWN(IF(AA$9="あり",0.5,IF(AA$9="大防御",0.1,1))*ROUNDDOWN((ROUNDDOWN((計算!$I33-ROUNDDOWN((計算!$AG$8+MAX(-(計算!$AG$8),MIN(200,(ROUNDDOWN(計算!$AG$8/2,0)*AA$10+ROUNDDOWN(計算!$AG$8/4,0)*AA$11))))/2,0))/2,0)-(1+ROUNDDOWN(ROUNDDOWN((計算!$I33-ROUNDDOWN((計算!$AG$8+MAX(-(計算!$AG$8),MIN(200,(ROUNDDOWN(計算!$AG$8/2,0)*AA$10+ROUNDDOWN(計算!$AG$8/4,0)*AA$11))))/2,0))/2,0)/16,0)))/2,0),0)))</f>
        <v>100</v>
      </c>
      <c r="AB78" s="258"/>
      <c r="AC78" s="259">
        <f ca="1">IF(OR($H44="",AA$15=""),"",IF($I78="念",VLOOKUP("念じボール",敵技,6,0),IF($I78="叩",VLOOKUP("叩きつける",敵技,6,0),0))+MAX(1,ROUNDDOWN(IF(AA$9="あり",0.5,IF(AA$9="大防御",0.1,1))*ROUNDDOWN((ROUNDDOWN((計算!$I33-ROUNDDOWN((計算!$AG$8+MAX(-(計算!$AG$8),MIN(200,(ROUNDDOWN(計算!$AG$8/2,0)*AA$10+ROUNDDOWN(計算!$AG$8/4,0)*AA$11))))/2,0))/2,0)+(1+ROUNDDOWN(ROUNDDOWN((計算!$I33-ROUNDDOWN((計算!$AG$8+MAX(-(計算!$AG$8),MIN(200,(ROUNDDOWN(計算!$AG$8/2,0)*AA$10+ROUNDDOWN(計算!$AG$8/4,0)*AA$11))))/2,0))/2,0)/16,0)))/2,0),0)))</f>
        <v>101</v>
      </c>
      <c r="AD78" s="260"/>
      <c r="AE78" s="257">
        <f ca="1">IF(OR($H44="",AE$15=""),"",IF($I78="念",VLOOKUP("念じボール",敵技,6,0),IF($I78="叩",VLOOKUP("叩きつける",敵技,6,0),0))+MAX(0,ROUNDDOWN(IF(AE$9="あり",0.5,IF(AE$9="大防御",0.1,1))*ROUNDDOWN((ROUNDDOWN((計算!$I33-ROUNDDOWN((計算!$AG$9+MAX(-(計算!$AG$9),MIN(200,(ROUNDDOWN(計算!$AG$9/2,0)*AE$10+ROUNDDOWN(計算!$AG$9/4,0)*AE$11))))/2,0))/2,0)-(1+ROUNDDOWN(ROUNDDOWN((計算!$I33-ROUNDDOWN((計算!$AG$9+MAX(-(計算!$AG$9),MIN(200,(ROUNDDOWN(計算!$AG$9/2,0)*AE$10+ROUNDDOWN(計算!$AG$9/4,0)*AE$11))))/2,0))/2,0)/16,0)))/2,0),0)))</f>
        <v>100</v>
      </c>
      <c r="AF78" s="258"/>
      <c r="AG78" s="259">
        <f ca="1">IF(OR($H44="",AE$15=""),"",IF($I78="念",VLOOKUP("念じボール",敵技,6,0),IF($I78="叩",VLOOKUP("叩きつける",敵技,6,0),0))+MAX(1,ROUNDDOWN(IF(AE$9="あり",0.5,IF(AE$9="大防御",0.1,1))*ROUNDDOWN((ROUNDDOWN((計算!$I33-ROUNDDOWN((計算!$AG$9+MAX(-(計算!$AG$9),MIN(200,(ROUNDDOWN(計算!$AG$9/2,0)*AE$10+ROUNDDOWN(計算!$AG$9/4,0)*AE$11))))/2,0))/2,0)+(1+ROUNDDOWN(ROUNDDOWN((計算!$I33-ROUNDDOWN((計算!$AG$9+MAX(-(計算!$AG$9),MIN(200,(ROUNDDOWN(計算!$AG$9/2,0)*AE$10+ROUNDDOWN(計算!$AG$9/4,0)*AE$11))))/2,0))/2,0)/16,0)))/2,0),0)))</f>
        <v>101</v>
      </c>
      <c r="AH78" s="260"/>
      <c r="AI78" s="257">
        <f ca="1">IF(OR($H44="",AI$15=""),"",IF($I78="念",VLOOKUP("念じボール",敵技,6,0),IF($I78="叩",VLOOKUP("叩きつける",敵技,6,0),0))+MAX(0,ROUNDDOWN(IF(AI$9="あり",0.5,IF(AI$9="大防御",0.1,1))*ROUNDDOWN((ROUNDDOWN((計算!$I33-ROUNDDOWN((計算!$AG$10+MAX(-(計算!$AG$10),MIN(200,(ROUNDDOWN(計算!$AG$10/2,0)*AI$10+ROUNDDOWN(計算!$AG$10/4,0)*AI$11))))/2,0))/2,0)-(1+ROUNDDOWN(ROUNDDOWN((計算!$I33-ROUNDDOWN((計算!$AG$10+MAX(-(計算!$AG$10),MIN(200,(ROUNDDOWN(計算!$AG$10/2,0)*AI$10+ROUNDDOWN(計算!$AG$10/4,0)*AI$11))))/2,0))/2,0)/16,0)))/2,0),0)))</f>
        <v>100</v>
      </c>
      <c r="AJ78" s="258"/>
      <c r="AK78" s="259">
        <f ca="1">IF(OR($H44="",AI$15=""),"",IF($I78="念",VLOOKUP("念じボール",敵技,6,0),IF($I78="叩",VLOOKUP("叩きつける",敵技,6,0),0))+MAX(1,ROUNDDOWN(IF(AI$9="あり",0.5,IF(AI$9="大防御",0.1,1))*ROUNDDOWN((ROUNDDOWN((計算!$I33-ROUNDDOWN((計算!$AG$10+MAX(-(計算!$AG$10),MIN(200,(ROUNDDOWN(計算!$AG$10/2,0)*AI$10+ROUNDDOWN(計算!$AG$10/4,0)*AI$11))))/2,0))/2,0)+(1+ROUNDDOWN(ROUNDDOWN((計算!$I33-ROUNDDOWN((計算!$AG$10+MAX(-(計算!$AG$10),MIN(200,(ROUNDDOWN(計算!$AG$10/2,0)*AI$10+ROUNDDOWN(計算!$AG$10/4,0)*AI$11))))/2,0))/2,0)/16,0)))/2,0),0)))</f>
        <v>101</v>
      </c>
      <c r="AL78" s="260"/>
      <c r="AM78" s="257">
        <f ca="1">IF(OR($H44="",AM$15=""),"",IF($I78="念",VLOOKUP("念じボール",敵技,6,0),IF($I78="叩",VLOOKUP("叩きつける",敵技,6,0),0))+MAX(0,ROUNDDOWN(IF(AM$9="あり",0.5,IF(AM$9="大防御",0.1,1))*ROUNDDOWN((ROUNDDOWN((計算!$I33-ROUNDDOWN((計算!$AG$11+MAX(-(計算!$AG$11),MIN(200,(ROUNDDOWN(計算!$AG$11/2,0)*AM$10+ROUNDDOWN(計算!$AG$11/4,0)*AM$11))))/2,0))/2,0)-(1+ROUNDDOWN(ROUNDDOWN((計算!$I33-ROUNDDOWN((計算!$AG$11+MAX(-(計算!$AG$11),MIN(200,(ROUNDDOWN(計算!$AG$11/2,0)*AM$10+ROUNDDOWN(計算!$AG$11/4,0)*AM$11))))/2,0))/2,0)/16,0)))/2,0),0)))</f>
        <v>100</v>
      </c>
      <c r="AN78" s="258"/>
      <c r="AO78" s="259">
        <f ca="1">IF(OR($H44="",AM$15=""),"",IF($I78="念",VLOOKUP("念じボール",敵技,6,0),IF($I78="叩",VLOOKUP("叩きつける",敵技,6,0),0))+MAX(1,ROUNDDOWN(IF(AM$9="あり",0.5,IF(AM$9="大防御",0.1,1))*ROUNDDOWN((ROUNDDOWN((計算!$I33-ROUNDDOWN((計算!$AG$11+MAX(-(計算!$AG$11),MIN(200,(ROUNDDOWN(計算!$AG$11/2,0)*AM$10+ROUNDDOWN(計算!$AG$11/4,0)*AM$11))))/2,0))/2,0)+(1+ROUNDDOWN(ROUNDDOWN((計算!$I33-ROUNDDOWN((計算!$AG$11+MAX(-(計算!$AG$11),MIN(200,(ROUNDDOWN(計算!$AG$11/2,0)*AM$10+ROUNDDOWN(計算!$AG$11/4,0)*AM$11))))/2,0))/2,0)/16,0)))/2,0),0)))</f>
        <v>101</v>
      </c>
      <c r="AP78" s="260"/>
    </row>
    <row r="79" spans="2:42" x14ac:dyDescent="0.15">
      <c r="B79" s="9">
        <f t="shared" ca="1" si="153"/>
        <v>0</v>
      </c>
      <c r="C79" s="9">
        <f t="shared" ca="1" si="154"/>
        <v>0</v>
      </c>
      <c r="D79" s="9">
        <v>587</v>
      </c>
      <c r="H79" s="98" t="str">
        <f t="shared" ca="1" si="161"/>
        <v>みぎて</v>
      </c>
      <c r="I79" s="108" t="str">
        <f>IF(計算!F42="","",VLOOKUP(計算!F42,敵技,4,0))</f>
        <v>叩</v>
      </c>
      <c r="J79" s="106" t="str">
        <f>IF(計算!F42="","",VLOOKUP(計算!F42,敵技,5,0))</f>
        <v>物理</v>
      </c>
      <c r="K79" s="257">
        <f ca="1">IF(OR($H45="",K$15=""),"",IF($I79="念",VLOOKUP("念じボール",敵技,6,0),IF($I79="叩",VLOOKUP("叩きつける",敵技,6,0),0))+MAX(0,ROUNDDOWN(IF(K$9="あり",0.5,IF(K$9="大防御",0.1,1))*ROUNDDOWN((ROUNDDOWN((計算!$I34-ROUNDDOWN((計算!$AG$4+MAX(-(計算!$AG$4),MIN(200,(ROUNDDOWN(計算!$AG$4/2,0)*K$10+ROUNDDOWN(計算!$AG$4/4,0)*K$11))))/2,0))/2,0)-(1+ROUNDDOWN(ROUNDDOWN((計算!$I34-ROUNDDOWN((計算!$AG$4+MAX(-(計算!$AG$4),MIN(200,(ROUNDDOWN(計算!$AG$4/2,0)*K$10+ROUNDDOWN(計算!$AG$4/4,0)*K$11))))/2,0))/2,0)/16,0)))/2,0),0)))</f>
        <v>100</v>
      </c>
      <c r="L79" s="258"/>
      <c r="M79" s="259">
        <f ca="1">IF(OR($H45="",K$15=""),"",IF($I79="念",VLOOKUP("念じボール",敵技,6,0),IF($I79="叩",VLOOKUP("叩きつける",敵技,6,0),0))+MAX(1,ROUNDDOWN(IF(K$9="あり",0.5,IF(K$9="大防御",0.1,1))*ROUNDDOWN((ROUNDDOWN((計算!$I34-ROUNDDOWN((計算!$AG$4+MAX(-(計算!$AG$4),MIN(200,(ROUNDDOWN(計算!$AG$4/2,0)*K$10+ROUNDDOWN(計算!$AG$4/4,0)*K$11))))/2,0))/2,0)+(1+ROUNDDOWN(ROUNDDOWN((計算!$I34-ROUNDDOWN((計算!$AG$4+MAX(-(計算!$AG$4),MIN(200,(ROUNDDOWN(計算!$AG$4/2,0)*K$10+ROUNDDOWN(計算!$AG$4/4,0)*K$11))))/2,0))/2,0)/16,0)))/2,0),0)))</f>
        <v>101</v>
      </c>
      <c r="N79" s="260"/>
      <c r="O79" s="257">
        <f ca="1">IF(OR($H45="",O$15=""),"",IF($I79="念",VLOOKUP("念じボール",敵技,6,0),IF($I79="叩",VLOOKUP("叩きつける",敵技,6,0),0))+MAX(0,ROUNDDOWN(IF(O$9="あり",0.5,IF(O$9="大防御",0.1,1))*ROUNDDOWN((ROUNDDOWN((計算!$I34-ROUNDDOWN((計算!$AG$5+MAX(-(計算!$AG$5),MIN(200,(ROUNDDOWN(計算!$AG$5/2,0)*O$10+ROUNDDOWN(計算!$AG$5/4,0)*O$11))))/2,0))/2,0)-(1+ROUNDDOWN(ROUNDDOWN((計算!$I34-ROUNDDOWN((計算!$AG$5+MAX(-(計算!$AG$5),MIN(200,(ROUNDDOWN(計算!$AG$5/2,0)*O$10+ROUNDDOWN(計算!$AG$5/4,0)*O$11))))/2,0))/2,0)/16,0)))/2,0),0)))</f>
        <v>100</v>
      </c>
      <c r="P79" s="258"/>
      <c r="Q79" s="259">
        <f ca="1">IF(OR($H45="",O$15=""),"",IF($I79="念",VLOOKUP("念じボール",敵技,6,0),IF($I79="叩",VLOOKUP("叩きつける",敵技,6,0),0))+MAX(1,ROUNDDOWN(IF(O$9="あり",0.5,IF(O$9="大防御",0.1,1))*ROUNDDOWN((ROUNDDOWN((計算!$I34-ROUNDDOWN((計算!$AG$5+MAX(-(計算!$AG$5),MIN(200,(ROUNDDOWN(計算!$AG$5/2,0)*O$10+ROUNDDOWN(計算!$AG$5/4,0)*O$11))))/2,0))/2,0)+(1+ROUNDDOWN(ROUNDDOWN((計算!$I34-ROUNDDOWN((計算!$AG$5+MAX(-(計算!$AG$5),MIN(200,(ROUNDDOWN(計算!$AG$5/2,0)*O$10+ROUNDDOWN(計算!$AG$5/4,0)*O$11))))/2,0))/2,0)/16,0)))/2,0),0)))</f>
        <v>101</v>
      </c>
      <c r="R79" s="260"/>
      <c r="S79" s="257">
        <f ca="1">IF(OR($H45="",S$15=""),"",IF($I79="念",VLOOKUP("念じボール",敵技,6,0),IF($I79="叩",VLOOKUP("叩きつける",敵技,6,0),0))+MAX(0,ROUNDDOWN(IF(S$9="あり",0.5,IF(S$9="大防御",0.1,1))*ROUNDDOWN((ROUNDDOWN((計算!$I34-ROUNDDOWN((計算!$AG$6+MAX(-(計算!$AG$6),MIN(200,(ROUNDDOWN(計算!$AG$6/2,0)*S$10+ROUNDDOWN(計算!$AG$6/4,0)*S$11))))/2,0))/2,0)-(1+ROUNDDOWN(ROUNDDOWN((計算!$I34-ROUNDDOWN((計算!$AG$6+MAX(-(計算!$AG$6),MIN(200,(ROUNDDOWN(計算!$AG$6/2,0)*S$10+ROUNDDOWN(計算!$AG$6/4,0)*S$11))))/2,0))/2,0)/16,0)))/2,0),0)))</f>
        <v>100</v>
      </c>
      <c r="T79" s="258"/>
      <c r="U79" s="259">
        <f ca="1">IF(OR($H45="",S$15=""),"",IF($I79="念",VLOOKUP("念じボール",敵技,6,0),IF($I79="叩",VLOOKUP("叩きつける",敵技,6,0),0))+MAX(1,ROUNDDOWN(IF(S$9="あり",0.5,IF(S$9="大防御",0.1,1))*ROUNDDOWN((ROUNDDOWN((計算!$I34-ROUNDDOWN((計算!$AG$6+MAX(-(計算!$AG$6),MIN(200,(ROUNDDOWN(計算!$AG$6/2,0)*S$10+ROUNDDOWN(計算!$AG$6/4,0)*S$11))))/2,0))/2,0)+(1+ROUNDDOWN(ROUNDDOWN((計算!$I34-ROUNDDOWN((計算!$AG$6+MAX(-(計算!$AG$6),MIN(200,(ROUNDDOWN(計算!$AG$6/2,0)*S$10+ROUNDDOWN(計算!$AG$6/4,0)*S$11))))/2,0))/2,0)/16,0)))/2,0),0)))</f>
        <v>101</v>
      </c>
      <c r="V79" s="260"/>
      <c r="W79" s="257">
        <f ca="1">IF(OR($H45="",W$15=""),"",IF($I79="念",VLOOKUP("念じボール",敵技,6,0),IF($I79="叩",VLOOKUP("叩きつける",敵技,6,0),0))+MAX(0,ROUNDDOWN(IF(W$9="あり",0.5,IF(W$9="大防御",0.1,1))*ROUNDDOWN((ROUNDDOWN((計算!$I34-ROUNDDOWN((計算!$AG$7+MAX(-(計算!$AG$7),MIN(200,(ROUNDDOWN(計算!$AG$7/2,0)*W$10+ROUNDDOWN(計算!$AG$7/4,0)*W$11))))/2,0))/2,0)-(1+ROUNDDOWN(ROUNDDOWN((計算!$I34-ROUNDDOWN((計算!$AG$7+MAX(-(計算!$AG$7),MIN(200,(ROUNDDOWN(計算!$AG$7/2,0)*W$10+ROUNDDOWN(計算!$AG$7/4,0)*W$11))))/2,0))/2,0)/16,0)))/2,0),0)))</f>
        <v>100</v>
      </c>
      <c r="X79" s="258"/>
      <c r="Y79" s="259">
        <f ca="1">IF(OR($H45="",W$15=""),"",IF($I79="念",VLOOKUP("念じボール",敵技,6,0),IF($I79="叩",VLOOKUP("叩きつける",敵技,6,0),0))+MAX(1,ROUNDDOWN(IF(W$9="あり",0.5,IF(W$9="大防御",0.1,1))*ROUNDDOWN((ROUNDDOWN((計算!$I34-ROUNDDOWN((計算!$AG$7+MAX(-(計算!$AG$7),MIN(200,(ROUNDDOWN(計算!$AG$7/2,0)*W$10+ROUNDDOWN(計算!$AG$7/4,0)*W$11))))/2,0))/2,0)+(1+ROUNDDOWN(ROUNDDOWN((計算!$I34-ROUNDDOWN((計算!$AG$7+MAX(-(計算!$AG$7),MIN(200,(ROUNDDOWN(計算!$AG$7/2,0)*W$10+ROUNDDOWN(計算!$AG$7/4,0)*W$11))))/2,0))/2,0)/16,0)))/2,0),0)))</f>
        <v>101</v>
      </c>
      <c r="Z79" s="260"/>
      <c r="AA79" s="257">
        <f ca="1">IF(OR($H45="",AA$15=""),"",IF($I79="念",VLOOKUP("念じボール",敵技,6,0),IF($I79="叩",VLOOKUP("叩きつける",敵技,6,0),0))+MAX(0,ROUNDDOWN(IF(AA$9="あり",0.5,IF(AA$9="大防御",0.1,1))*ROUNDDOWN((ROUNDDOWN((計算!$I34-ROUNDDOWN((計算!$AG$8+MAX(-(計算!$AG$8),MIN(200,(ROUNDDOWN(計算!$AG$8/2,0)*AA$10+ROUNDDOWN(計算!$AG$8/4,0)*AA$11))))/2,0))/2,0)-(1+ROUNDDOWN(ROUNDDOWN((計算!$I34-ROUNDDOWN((計算!$AG$8+MAX(-(計算!$AG$8),MIN(200,(ROUNDDOWN(計算!$AG$8/2,0)*AA$10+ROUNDDOWN(計算!$AG$8/4,0)*AA$11))))/2,0))/2,0)/16,0)))/2,0),0)))</f>
        <v>100</v>
      </c>
      <c r="AB79" s="258"/>
      <c r="AC79" s="259">
        <f ca="1">IF(OR($H45="",AA$15=""),"",IF($I79="念",VLOOKUP("念じボール",敵技,6,0),IF($I79="叩",VLOOKUP("叩きつける",敵技,6,0),0))+MAX(1,ROUNDDOWN(IF(AA$9="あり",0.5,IF(AA$9="大防御",0.1,1))*ROUNDDOWN((ROUNDDOWN((計算!$I34-ROUNDDOWN((計算!$AG$8+MAX(-(計算!$AG$8),MIN(200,(ROUNDDOWN(計算!$AG$8/2,0)*AA$10+ROUNDDOWN(計算!$AG$8/4,0)*AA$11))))/2,0))/2,0)+(1+ROUNDDOWN(ROUNDDOWN((計算!$I34-ROUNDDOWN((計算!$AG$8+MAX(-(計算!$AG$8),MIN(200,(ROUNDDOWN(計算!$AG$8/2,0)*AA$10+ROUNDDOWN(計算!$AG$8/4,0)*AA$11))))/2,0))/2,0)/16,0)))/2,0),0)))</f>
        <v>101</v>
      </c>
      <c r="AD79" s="260"/>
      <c r="AE79" s="257">
        <f ca="1">IF(OR($H45="",AE$15=""),"",IF($I79="念",VLOOKUP("念じボール",敵技,6,0),IF($I79="叩",VLOOKUP("叩きつける",敵技,6,0),0))+MAX(0,ROUNDDOWN(IF(AE$9="あり",0.5,IF(AE$9="大防御",0.1,1))*ROUNDDOWN((ROUNDDOWN((計算!$I34-ROUNDDOWN((計算!$AG$9+MAX(-(計算!$AG$9),MIN(200,(ROUNDDOWN(計算!$AG$9/2,0)*AE$10+ROUNDDOWN(計算!$AG$9/4,0)*AE$11))))/2,0))/2,0)-(1+ROUNDDOWN(ROUNDDOWN((計算!$I34-ROUNDDOWN((計算!$AG$9+MAX(-(計算!$AG$9),MIN(200,(ROUNDDOWN(計算!$AG$9/2,0)*AE$10+ROUNDDOWN(計算!$AG$9/4,0)*AE$11))))/2,0))/2,0)/16,0)))/2,0),0)))</f>
        <v>100</v>
      </c>
      <c r="AF79" s="258"/>
      <c r="AG79" s="259">
        <f ca="1">IF(OR($H45="",AE$15=""),"",IF($I79="念",VLOOKUP("念じボール",敵技,6,0),IF($I79="叩",VLOOKUP("叩きつける",敵技,6,0),0))+MAX(1,ROUNDDOWN(IF(AE$9="あり",0.5,IF(AE$9="大防御",0.1,1))*ROUNDDOWN((ROUNDDOWN((計算!$I34-ROUNDDOWN((計算!$AG$9+MAX(-(計算!$AG$9),MIN(200,(ROUNDDOWN(計算!$AG$9/2,0)*AE$10+ROUNDDOWN(計算!$AG$9/4,0)*AE$11))))/2,0))/2,0)+(1+ROUNDDOWN(ROUNDDOWN((計算!$I34-ROUNDDOWN((計算!$AG$9+MAX(-(計算!$AG$9),MIN(200,(ROUNDDOWN(計算!$AG$9/2,0)*AE$10+ROUNDDOWN(計算!$AG$9/4,0)*AE$11))))/2,0))/2,0)/16,0)))/2,0),0)))</f>
        <v>101</v>
      </c>
      <c r="AH79" s="260"/>
      <c r="AI79" s="257">
        <f ca="1">IF(OR($H45="",AI$15=""),"",IF($I79="念",VLOOKUP("念じボール",敵技,6,0),IF($I79="叩",VLOOKUP("叩きつける",敵技,6,0),0))+MAX(0,ROUNDDOWN(IF(AI$9="あり",0.5,IF(AI$9="大防御",0.1,1))*ROUNDDOWN((ROUNDDOWN((計算!$I34-ROUNDDOWN((計算!$AG$10+MAX(-(計算!$AG$10),MIN(200,(ROUNDDOWN(計算!$AG$10/2,0)*AI$10+ROUNDDOWN(計算!$AG$10/4,0)*AI$11))))/2,0))/2,0)-(1+ROUNDDOWN(ROUNDDOWN((計算!$I34-ROUNDDOWN((計算!$AG$10+MAX(-(計算!$AG$10),MIN(200,(ROUNDDOWN(計算!$AG$10/2,0)*AI$10+ROUNDDOWN(計算!$AG$10/4,0)*AI$11))))/2,0))/2,0)/16,0)))/2,0),0)))</f>
        <v>100</v>
      </c>
      <c r="AJ79" s="258"/>
      <c r="AK79" s="259">
        <f ca="1">IF(OR($H45="",AI$15=""),"",IF($I79="念",VLOOKUP("念じボール",敵技,6,0),IF($I79="叩",VLOOKUP("叩きつける",敵技,6,0),0))+MAX(1,ROUNDDOWN(IF(AI$9="あり",0.5,IF(AI$9="大防御",0.1,1))*ROUNDDOWN((ROUNDDOWN((計算!$I34-ROUNDDOWN((計算!$AG$10+MAX(-(計算!$AG$10),MIN(200,(ROUNDDOWN(計算!$AG$10/2,0)*AI$10+ROUNDDOWN(計算!$AG$10/4,0)*AI$11))))/2,0))/2,0)+(1+ROUNDDOWN(ROUNDDOWN((計算!$I34-ROUNDDOWN((計算!$AG$10+MAX(-(計算!$AG$10),MIN(200,(ROUNDDOWN(計算!$AG$10/2,0)*AI$10+ROUNDDOWN(計算!$AG$10/4,0)*AI$11))))/2,0))/2,0)/16,0)))/2,0),0)))</f>
        <v>101</v>
      </c>
      <c r="AL79" s="260"/>
      <c r="AM79" s="257">
        <f ca="1">IF(OR($H45="",AM$15=""),"",IF($I79="念",VLOOKUP("念じボール",敵技,6,0),IF($I79="叩",VLOOKUP("叩きつける",敵技,6,0),0))+MAX(0,ROUNDDOWN(IF(AM$9="あり",0.5,IF(AM$9="大防御",0.1,1))*ROUNDDOWN((ROUNDDOWN((計算!$I34-ROUNDDOWN((計算!$AG$11+MAX(-(計算!$AG$11),MIN(200,(ROUNDDOWN(計算!$AG$11/2,0)*AM$10+ROUNDDOWN(計算!$AG$11/4,0)*AM$11))))/2,0))/2,0)-(1+ROUNDDOWN(ROUNDDOWN((計算!$I34-ROUNDDOWN((計算!$AG$11+MAX(-(計算!$AG$11),MIN(200,(ROUNDDOWN(計算!$AG$11/2,0)*AM$10+ROUNDDOWN(計算!$AG$11/4,0)*AM$11))))/2,0))/2,0)/16,0)))/2,0),0)))</f>
        <v>100</v>
      </c>
      <c r="AN79" s="258"/>
      <c r="AO79" s="259">
        <f ca="1">IF(OR($H45="",AM$15=""),"",IF($I79="念",VLOOKUP("念じボール",敵技,6,0),IF($I79="叩",VLOOKUP("叩きつける",敵技,6,0),0))+MAX(1,ROUNDDOWN(IF(AM$9="あり",0.5,IF(AM$9="大防御",0.1,1))*ROUNDDOWN((ROUNDDOWN((計算!$I34-ROUNDDOWN((計算!$AG$11+MAX(-(計算!$AG$11),MIN(200,(ROUNDDOWN(計算!$AG$11/2,0)*AM$10+ROUNDDOWN(計算!$AG$11/4,0)*AM$11))))/2,0))/2,0)+(1+ROUNDDOWN(ROUNDDOWN((計算!$I34-ROUNDDOWN((計算!$AG$11+MAX(-(計算!$AG$11),MIN(200,(ROUNDDOWN(計算!$AG$11/2,0)*AM$10+ROUNDDOWN(計算!$AG$11/4,0)*AM$11))))/2,0))/2,0)/16,0)))/2,0),0)))</f>
        <v>101</v>
      </c>
      <c r="AP79" s="260"/>
    </row>
    <row r="80" spans="2:42" x14ac:dyDescent="0.15">
      <c r="B80" s="9">
        <f t="shared" ca="1" si="153"/>
        <v>0</v>
      </c>
      <c r="C80" s="9">
        <f t="shared" ca="1" si="154"/>
        <v>0</v>
      </c>
      <c r="D80" s="9">
        <v>595</v>
      </c>
      <c r="H80" s="98" t="str">
        <f t="shared" ca="1" si="161"/>
        <v>みぎて</v>
      </c>
      <c r="I80" s="108" t="str">
        <f>IF(計算!F43="","",VLOOKUP(計算!F43,敵技,4,0))</f>
        <v>なし</v>
      </c>
      <c r="J80" s="106" t="str">
        <f>IF(計算!F43="","",VLOOKUP(計算!F43,敵技,5,0))</f>
        <v>物理</v>
      </c>
      <c r="K80" s="257">
        <f ca="1">IF(OR($H46="",K$15=""),"",IF($I80="念",VLOOKUP("念じボール",敵技,6,0),IF($I80="叩",VLOOKUP("叩きつける",敵技,6,0),0))+MAX(0,ROUNDDOWN(IF(K$9="あり",0.5,IF(K$9="大防御",0.1,1))*ROUNDDOWN((ROUNDDOWN((計算!$I35-ROUNDDOWN((計算!$AG$4+MAX(-(計算!$AG$4),MIN(200,(ROUNDDOWN(計算!$AG$4/2,0)*K$10+ROUNDDOWN(計算!$AG$4/4,0)*K$11))))/2,0))/2,0)-(1+ROUNDDOWN(ROUNDDOWN((計算!$I35-ROUNDDOWN((計算!$AG$4+MAX(-(計算!$AG$4),MIN(200,(ROUNDDOWN(計算!$AG$4/2,0)*K$10+ROUNDDOWN(計算!$AG$4/4,0)*K$11))))/2,0))/2,0)/16,0)))/2,0),0)))</f>
        <v>0</v>
      </c>
      <c r="L80" s="258"/>
      <c r="M80" s="259">
        <f ca="1">IF(OR($H46="",K$15=""),"",IF($I80="念",VLOOKUP("念じボール",敵技,6,0),IF($I80="叩",VLOOKUP("叩きつける",敵技,6,0),0))+MAX(1,ROUNDDOWN(IF(K$9="あり",0.5,IF(K$9="大防御",0.1,1))*ROUNDDOWN((ROUNDDOWN((計算!$I35-ROUNDDOWN((計算!$AG$4+MAX(-(計算!$AG$4),MIN(200,(ROUNDDOWN(計算!$AG$4/2,0)*K$10+ROUNDDOWN(計算!$AG$4/4,0)*K$11))))/2,0))/2,0)+(1+ROUNDDOWN(ROUNDDOWN((計算!$I35-ROUNDDOWN((計算!$AG$4+MAX(-(計算!$AG$4),MIN(200,(ROUNDDOWN(計算!$AG$4/2,0)*K$10+ROUNDDOWN(計算!$AG$4/4,0)*K$11))))/2,0))/2,0)/16,0)))/2,0),0)))</f>
        <v>1</v>
      </c>
      <c r="N80" s="260"/>
      <c r="O80" s="257">
        <f ca="1">IF(OR($H46="",O$15=""),"",IF($I80="念",VLOOKUP("念じボール",敵技,6,0),IF($I80="叩",VLOOKUP("叩きつける",敵技,6,0),0))+MAX(0,ROUNDDOWN(IF(O$9="あり",0.5,IF(O$9="大防御",0.1,1))*ROUNDDOWN((ROUNDDOWN((計算!$I35-ROUNDDOWN((計算!$AG$5+MAX(-(計算!$AG$5),MIN(200,(ROUNDDOWN(計算!$AG$5/2,0)*O$10+ROUNDDOWN(計算!$AG$5/4,0)*O$11))))/2,0))/2,0)-(1+ROUNDDOWN(ROUNDDOWN((計算!$I35-ROUNDDOWN((計算!$AG$5+MAX(-(計算!$AG$5),MIN(200,(ROUNDDOWN(計算!$AG$5/2,0)*O$10+ROUNDDOWN(計算!$AG$5/4,0)*O$11))))/2,0))/2,0)/16,0)))/2,0),0)))</f>
        <v>0</v>
      </c>
      <c r="P80" s="258"/>
      <c r="Q80" s="259">
        <f ca="1">IF(OR($H46="",O$15=""),"",IF($I80="念",VLOOKUP("念じボール",敵技,6,0),IF($I80="叩",VLOOKUP("叩きつける",敵技,6,0),0))+MAX(1,ROUNDDOWN(IF(O$9="あり",0.5,IF(O$9="大防御",0.1,1))*ROUNDDOWN((ROUNDDOWN((計算!$I35-ROUNDDOWN((計算!$AG$5+MAX(-(計算!$AG$5),MIN(200,(ROUNDDOWN(計算!$AG$5/2,0)*O$10+ROUNDDOWN(計算!$AG$5/4,0)*O$11))))/2,0))/2,0)+(1+ROUNDDOWN(ROUNDDOWN((計算!$I35-ROUNDDOWN((計算!$AG$5+MAX(-(計算!$AG$5),MIN(200,(ROUNDDOWN(計算!$AG$5/2,0)*O$10+ROUNDDOWN(計算!$AG$5/4,0)*O$11))))/2,0))/2,0)/16,0)))/2,0),0)))</f>
        <v>1</v>
      </c>
      <c r="R80" s="260"/>
      <c r="S80" s="257">
        <f ca="1">IF(OR($H46="",S$15=""),"",IF($I80="念",VLOOKUP("念じボール",敵技,6,0),IF($I80="叩",VLOOKUP("叩きつける",敵技,6,0),0))+MAX(0,ROUNDDOWN(IF(S$9="あり",0.5,IF(S$9="大防御",0.1,1))*ROUNDDOWN((ROUNDDOWN((計算!$I35-ROUNDDOWN((計算!$AG$6+MAX(-(計算!$AG$6),MIN(200,(ROUNDDOWN(計算!$AG$6/2,0)*S$10+ROUNDDOWN(計算!$AG$6/4,0)*S$11))))/2,0))/2,0)-(1+ROUNDDOWN(ROUNDDOWN((計算!$I35-ROUNDDOWN((計算!$AG$6+MAX(-(計算!$AG$6),MIN(200,(ROUNDDOWN(計算!$AG$6/2,0)*S$10+ROUNDDOWN(計算!$AG$6/4,0)*S$11))))/2,0))/2,0)/16,0)))/2,0),0)))</f>
        <v>0</v>
      </c>
      <c r="T80" s="258"/>
      <c r="U80" s="259">
        <f ca="1">IF(OR($H46="",S$15=""),"",IF($I80="念",VLOOKUP("念じボール",敵技,6,0),IF($I80="叩",VLOOKUP("叩きつける",敵技,6,0),0))+MAX(1,ROUNDDOWN(IF(S$9="あり",0.5,IF(S$9="大防御",0.1,1))*ROUNDDOWN((ROUNDDOWN((計算!$I35-ROUNDDOWN((計算!$AG$6+MAX(-(計算!$AG$6),MIN(200,(ROUNDDOWN(計算!$AG$6/2,0)*S$10+ROUNDDOWN(計算!$AG$6/4,0)*S$11))))/2,0))/2,0)+(1+ROUNDDOWN(ROUNDDOWN((計算!$I35-ROUNDDOWN((計算!$AG$6+MAX(-(計算!$AG$6),MIN(200,(ROUNDDOWN(計算!$AG$6/2,0)*S$10+ROUNDDOWN(計算!$AG$6/4,0)*S$11))))/2,0))/2,0)/16,0)))/2,0),0)))</f>
        <v>1</v>
      </c>
      <c r="V80" s="260"/>
      <c r="W80" s="257">
        <f ca="1">IF(OR($H46="",W$15=""),"",IF($I80="念",VLOOKUP("念じボール",敵技,6,0),IF($I80="叩",VLOOKUP("叩きつける",敵技,6,0),0))+MAX(0,ROUNDDOWN(IF(W$9="あり",0.5,IF(W$9="大防御",0.1,1))*ROUNDDOWN((ROUNDDOWN((計算!$I35-ROUNDDOWN((計算!$AG$7+MAX(-(計算!$AG$7),MIN(200,(ROUNDDOWN(計算!$AG$7/2,0)*W$10+ROUNDDOWN(計算!$AG$7/4,0)*W$11))))/2,0))/2,0)-(1+ROUNDDOWN(ROUNDDOWN((計算!$I35-ROUNDDOWN((計算!$AG$7+MAX(-(計算!$AG$7),MIN(200,(ROUNDDOWN(計算!$AG$7/2,0)*W$10+ROUNDDOWN(計算!$AG$7/4,0)*W$11))))/2,0))/2,0)/16,0)))/2,0),0)))</f>
        <v>0</v>
      </c>
      <c r="X80" s="258"/>
      <c r="Y80" s="259">
        <f ca="1">IF(OR($H46="",W$15=""),"",IF($I80="念",VLOOKUP("念じボール",敵技,6,0),IF($I80="叩",VLOOKUP("叩きつける",敵技,6,0),0))+MAX(1,ROUNDDOWN(IF(W$9="あり",0.5,IF(W$9="大防御",0.1,1))*ROUNDDOWN((ROUNDDOWN((計算!$I35-ROUNDDOWN((計算!$AG$7+MAX(-(計算!$AG$7),MIN(200,(ROUNDDOWN(計算!$AG$7/2,0)*W$10+ROUNDDOWN(計算!$AG$7/4,0)*W$11))))/2,0))/2,0)+(1+ROUNDDOWN(ROUNDDOWN((計算!$I35-ROUNDDOWN((計算!$AG$7+MAX(-(計算!$AG$7),MIN(200,(ROUNDDOWN(計算!$AG$7/2,0)*W$10+ROUNDDOWN(計算!$AG$7/4,0)*W$11))))/2,0))/2,0)/16,0)))/2,0),0)))</f>
        <v>1</v>
      </c>
      <c r="Z80" s="260"/>
      <c r="AA80" s="257">
        <f ca="1">IF(OR($H46="",AA$15=""),"",IF($I80="念",VLOOKUP("念じボール",敵技,6,0),IF($I80="叩",VLOOKUP("叩きつける",敵技,6,0),0))+MAX(0,ROUNDDOWN(IF(AA$9="あり",0.5,IF(AA$9="大防御",0.1,1))*ROUNDDOWN((ROUNDDOWN((計算!$I35-ROUNDDOWN((計算!$AG$8+MAX(-(計算!$AG$8),MIN(200,(ROUNDDOWN(計算!$AG$8/2,0)*AA$10+ROUNDDOWN(計算!$AG$8/4,0)*AA$11))))/2,0))/2,0)-(1+ROUNDDOWN(ROUNDDOWN((計算!$I35-ROUNDDOWN((計算!$AG$8+MAX(-(計算!$AG$8),MIN(200,(ROUNDDOWN(計算!$AG$8/2,0)*AA$10+ROUNDDOWN(計算!$AG$8/4,0)*AA$11))))/2,0))/2,0)/16,0)))/2,0),0)))</f>
        <v>0</v>
      </c>
      <c r="AB80" s="258"/>
      <c r="AC80" s="259">
        <f ca="1">IF(OR($H46="",AA$15=""),"",IF($I80="念",VLOOKUP("念じボール",敵技,6,0),IF($I80="叩",VLOOKUP("叩きつける",敵技,6,0),0))+MAX(1,ROUNDDOWN(IF(AA$9="あり",0.5,IF(AA$9="大防御",0.1,1))*ROUNDDOWN((ROUNDDOWN((計算!$I35-ROUNDDOWN((計算!$AG$8+MAX(-(計算!$AG$8),MIN(200,(ROUNDDOWN(計算!$AG$8/2,0)*AA$10+ROUNDDOWN(計算!$AG$8/4,0)*AA$11))))/2,0))/2,0)+(1+ROUNDDOWN(ROUNDDOWN((計算!$I35-ROUNDDOWN((計算!$AG$8+MAX(-(計算!$AG$8),MIN(200,(ROUNDDOWN(計算!$AG$8/2,0)*AA$10+ROUNDDOWN(計算!$AG$8/4,0)*AA$11))))/2,0))/2,0)/16,0)))/2,0),0)))</f>
        <v>1</v>
      </c>
      <c r="AD80" s="260"/>
      <c r="AE80" s="257">
        <f ca="1">IF(OR($H46="",AE$15=""),"",IF($I80="念",VLOOKUP("念じボール",敵技,6,0),IF($I80="叩",VLOOKUP("叩きつける",敵技,6,0),0))+MAX(0,ROUNDDOWN(IF(AE$9="あり",0.5,IF(AE$9="大防御",0.1,1))*ROUNDDOWN((ROUNDDOWN((計算!$I35-ROUNDDOWN((計算!$AG$9+MAX(-(計算!$AG$9),MIN(200,(ROUNDDOWN(計算!$AG$9/2,0)*AE$10+ROUNDDOWN(計算!$AG$9/4,0)*AE$11))))/2,0))/2,0)-(1+ROUNDDOWN(ROUNDDOWN((計算!$I35-ROUNDDOWN((計算!$AG$9+MAX(-(計算!$AG$9),MIN(200,(ROUNDDOWN(計算!$AG$9/2,0)*AE$10+ROUNDDOWN(計算!$AG$9/4,0)*AE$11))))/2,0))/2,0)/16,0)))/2,0),0)))</f>
        <v>0</v>
      </c>
      <c r="AF80" s="258"/>
      <c r="AG80" s="259">
        <f ca="1">IF(OR($H46="",AE$15=""),"",IF($I80="念",VLOOKUP("念じボール",敵技,6,0),IF($I80="叩",VLOOKUP("叩きつける",敵技,6,0),0))+MAX(1,ROUNDDOWN(IF(AE$9="あり",0.5,IF(AE$9="大防御",0.1,1))*ROUNDDOWN((ROUNDDOWN((計算!$I35-ROUNDDOWN((計算!$AG$9+MAX(-(計算!$AG$9),MIN(200,(ROUNDDOWN(計算!$AG$9/2,0)*AE$10+ROUNDDOWN(計算!$AG$9/4,0)*AE$11))))/2,0))/2,0)+(1+ROUNDDOWN(ROUNDDOWN((計算!$I35-ROUNDDOWN((計算!$AG$9+MAX(-(計算!$AG$9),MIN(200,(ROUNDDOWN(計算!$AG$9/2,0)*AE$10+ROUNDDOWN(計算!$AG$9/4,0)*AE$11))))/2,0))/2,0)/16,0)))/2,0),0)))</f>
        <v>1</v>
      </c>
      <c r="AH80" s="260"/>
      <c r="AI80" s="257">
        <f ca="1">IF(OR($H46="",AI$15=""),"",IF($I80="念",VLOOKUP("念じボール",敵技,6,0),IF($I80="叩",VLOOKUP("叩きつける",敵技,6,0),0))+MAX(0,ROUNDDOWN(IF(AI$9="あり",0.5,IF(AI$9="大防御",0.1,1))*ROUNDDOWN((ROUNDDOWN((計算!$I35-ROUNDDOWN((計算!$AG$10+MAX(-(計算!$AG$10),MIN(200,(ROUNDDOWN(計算!$AG$10/2,0)*AI$10+ROUNDDOWN(計算!$AG$10/4,0)*AI$11))))/2,0))/2,0)-(1+ROUNDDOWN(ROUNDDOWN((計算!$I35-ROUNDDOWN((計算!$AG$10+MAX(-(計算!$AG$10),MIN(200,(ROUNDDOWN(計算!$AG$10/2,0)*AI$10+ROUNDDOWN(計算!$AG$10/4,0)*AI$11))))/2,0))/2,0)/16,0)))/2,0),0)))</f>
        <v>0</v>
      </c>
      <c r="AJ80" s="258"/>
      <c r="AK80" s="259">
        <f ca="1">IF(OR($H46="",AI$15=""),"",IF($I80="念",VLOOKUP("念じボール",敵技,6,0),IF($I80="叩",VLOOKUP("叩きつける",敵技,6,0),0))+MAX(1,ROUNDDOWN(IF(AI$9="あり",0.5,IF(AI$9="大防御",0.1,1))*ROUNDDOWN((ROUNDDOWN((計算!$I35-ROUNDDOWN((計算!$AG$10+MAX(-(計算!$AG$10),MIN(200,(ROUNDDOWN(計算!$AG$10/2,0)*AI$10+ROUNDDOWN(計算!$AG$10/4,0)*AI$11))))/2,0))/2,0)+(1+ROUNDDOWN(ROUNDDOWN((計算!$I35-ROUNDDOWN((計算!$AG$10+MAX(-(計算!$AG$10),MIN(200,(ROUNDDOWN(計算!$AG$10/2,0)*AI$10+ROUNDDOWN(計算!$AG$10/4,0)*AI$11))))/2,0))/2,0)/16,0)))/2,0),0)))</f>
        <v>1</v>
      </c>
      <c r="AL80" s="260"/>
      <c r="AM80" s="257">
        <f ca="1">IF(OR($H46="",AM$15=""),"",IF($I80="念",VLOOKUP("念じボール",敵技,6,0),IF($I80="叩",VLOOKUP("叩きつける",敵技,6,0),0))+MAX(0,ROUNDDOWN(IF(AM$9="あり",0.5,IF(AM$9="大防御",0.1,1))*ROUNDDOWN((ROUNDDOWN((計算!$I35-ROUNDDOWN((計算!$AG$11+MAX(-(計算!$AG$11),MIN(200,(ROUNDDOWN(計算!$AG$11/2,0)*AM$10+ROUNDDOWN(計算!$AG$11/4,0)*AM$11))))/2,0))/2,0)-(1+ROUNDDOWN(ROUNDDOWN((計算!$I35-ROUNDDOWN((計算!$AG$11+MAX(-(計算!$AG$11),MIN(200,(ROUNDDOWN(計算!$AG$11/2,0)*AM$10+ROUNDDOWN(計算!$AG$11/4,0)*AM$11))))/2,0))/2,0)/16,0)))/2,0),0)))</f>
        <v>0</v>
      </c>
      <c r="AN80" s="258"/>
      <c r="AO80" s="259">
        <f ca="1">IF(OR($H46="",AM$15=""),"",IF($I80="念",VLOOKUP("念じボール",敵技,6,0),IF($I80="叩",VLOOKUP("叩きつける",敵技,6,0),0))+MAX(1,ROUNDDOWN(IF(AM$9="あり",0.5,IF(AM$9="大防御",0.1,1))*ROUNDDOWN((ROUNDDOWN((計算!$I35-ROUNDDOWN((計算!$AG$11+MAX(-(計算!$AG$11),MIN(200,(ROUNDDOWN(計算!$AG$11/2,0)*AM$10+ROUNDDOWN(計算!$AG$11/4,0)*AM$11))))/2,0))/2,0)+(1+ROUNDDOWN(ROUNDDOWN((計算!$I35-ROUNDDOWN((計算!$AG$11+MAX(-(計算!$AG$11),MIN(200,(ROUNDDOWN(計算!$AG$11/2,0)*AM$10+ROUNDDOWN(計算!$AG$11/4,0)*AM$11))))/2,0))/2,0)/16,0)))/2,0),0)))</f>
        <v>1</v>
      </c>
      <c r="AP80" s="260"/>
    </row>
    <row r="81" spans="2:44" x14ac:dyDescent="0.15">
      <c r="B81" s="9">
        <f t="shared" ca="1" si="153"/>
        <v>0</v>
      </c>
      <c r="C81" s="9">
        <f t="shared" ca="1" si="154"/>
        <v>0</v>
      </c>
      <c r="D81" s="9">
        <v>603</v>
      </c>
    </row>
    <row r="82" spans="2:44" x14ac:dyDescent="0.15">
      <c r="B82" s="9">
        <f t="shared" ca="1" si="153"/>
        <v>0</v>
      </c>
      <c r="C82" s="9">
        <f t="shared" ca="1" si="154"/>
        <v>0</v>
      </c>
      <c r="D82" s="9">
        <v>611</v>
      </c>
      <c r="H82" s="263" t="s">
        <v>725</v>
      </c>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row>
    <row r="83" spans="2:44" x14ac:dyDescent="0.15">
      <c r="B83" s="9">
        <f t="shared" ca="1" si="153"/>
        <v>0</v>
      </c>
      <c r="C83" s="9">
        <f t="shared" ca="1" si="154"/>
        <v>0</v>
      </c>
      <c r="D83" s="9">
        <v>619</v>
      </c>
      <c r="H83" s="116" t="s">
        <v>449</v>
      </c>
      <c r="I83" s="116" t="s">
        <v>201</v>
      </c>
      <c r="J83" s="116" t="s">
        <v>579</v>
      </c>
      <c r="K83" s="264" t="str">
        <f ca="1">K$5</f>
        <v>主人公</v>
      </c>
      <c r="L83" s="265"/>
      <c r="M83" s="265"/>
      <c r="N83" s="266"/>
      <c r="O83" s="264" t="str">
        <f ca="1">O$5</f>
        <v>ハッサン</v>
      </c>
      <c r="P83" s="265"/>
      <c r="Q83" s="265"/>
      <c r="R83" s="266"/>
      <c r="S83" s="264" t="str">
        <f t="shared" ref="S83" ca="1" si="162">S$5</f>
        <v>ミレーユ</v>
      </c>
      <c r="T83" s="265"/>
      <c r="U83" s="265"/>
      <c r="V83" s="266"/>
      <c r="W83" s="264" t="str">
        <f t="shared" ref="W83" ca="1" si="163">W$5</f>
        <v>バーバラ</v>
      </c>
      <c r="X83" s="265"/>
      <c r="Y83" s="265"/>
      <c r="Z83" s="266"/>
      <c r="AA83" s="264" t="str">
        <f t="shared" ref="AA83" ca="1" si="164">AA$5</f>
        <v>チャモロ</v>
      </c>
      <c r="AB83" s="265"/>
      <c r="AC83" s="265"/>
      <c r="AD83" s="266"/>
      <c r="AE83" s="264" t="str">
        <f t="shared" ref="AE83" ca="1" si="165">AE$5</f>
        <v>アモス</v>
      </c>
      <c r="AF83" s="265"/>
      <c r="AG83" s="265"/>
      <c r="AH83" s="266"/>
      <c r="AI83" s="264" t="str">
        <f t="shared" ref="AI83" ca="1" si="166">AI$5</f>
        <v>テリー</v>
      </c>
      <c r="AJ83" s="265"/>
      <c r="AK83" s="265"/>
      <c r="AL83" s="266"/>
      <c r="AM83" s="264" t="str">
        <f t="shared" ref="AM83" ca="1" si="167">AM$5</f>
        <v>ドランゴ</v>
      </c>
      <c r="AN83" s="265"/>
      <c r="AO83" s="265"/>
      <c r="AP83" s="266"/>
    </row>
    <row r="84" spans="2:44" x14ac:dyDescent="0.15">
      <c r="B84" s="9">
        <f t="shared" ca="1" si="153"/>
        <v>0</v>
      </c>
      <c r="C84" s="9">
        <f t="shared" ca="1" si="154"/>
        <v>0</v>
      </c>
      <c r="D84" s="9">
        <v>627</v>
      </c>
      <c r="H84" s="98" t="str">
        <f ca="1">$H16</f>
        <v>デスタムーア3</v>
      </c>
      <c r="I84" s="108" t="str">
        <f>IF(計算!F36="","",VLOOKUP(計算!F36,敵技,4,0))</f>
        <v>なし</v>
      </c>
      <c r="J84" s="108" t="str">
        <f>IF(計算!F36="","",VLOOKUP(計算!F36,敵技,5,0))</f>
        <v>無視</v>
      </c>
      <c r="K84" s="257" t="str">
        <f ca="1">IF(OR(NOT($J84="魔"),$H84="",K$83=""),"",ROUNDDOWN(((K16-HLOOKUP($I84,味方耐性,K$12,0))*VLOOKUP($J84,貫通力,2+K27,0)),0))</f>
        <v/>
      </c>
      <c r="L84" s="258"/>
      <c r="M84" s="259" t="str">
        <f t="shared" ref="M84:M91" ca="1" si="168">IF(OR(NOT($J84="魔"),$H84="",K$83=""),"",ROUNDDOWN(((M16-HLOOKUP($I84,味方耐性,M$12,0))*VLOOKUP($J84,貫通力,2+K27,0)),0))</f>
        <v/>
      </c>
      <c r="N84" s="260"/>
      <c r="O84" s="257" t="str">
        <f t="shared" ref="O84:O91" ca="1" si="169">IF(OR(NOT($J84="魔"),$H84="",O$83=""),"",ROUNDDOWN(((O16-HLOOKUP($I84,味方耐性,O$12,0))*VLOOKUP($J84,貫通力,2+O27,0)),0))</f>
        <v/>
      </c>
      <c r="P84" s="258"/>
      <c r="Q84" s="259" t="str">
        <f t="shared" ref="Q84:Q91" ca="1" si="170">IF(OR(NOT($J84="魔"),$H84="",O$83=""),"",ROUNDDOWN(((Q16-HLOOKUP($I84,味方耐性,Q$12,0))*VLOOKUP($J84,貫通力,2+O27,0)),0))</f>
        <v/>
      </c>
      <c r="R84" s="260"/>
      <c r="S84" s="257" t="str">
        <f t="shared" ref="S84:S91" ca="1" si="171">IF(OR(NOT($J84="魔"),$H84="",S$83=""),"",ROUNDDOWN(((S16-HLOOKUP($I84,味方耐性,S$12,0))*VLOOKUP($J84,貫通力,2+S27,0)),0))</f>
        <v/>
      </c>
      <c r="T84" s="258"/>
      <c r="U84" s="259" t="str">
        <f t="shared" ref="U84:U91" ca="1" si="172">IF(OR(NOT($J84="魔"),$H84="",S$83=""),"",ROUNDDOWN(((U16-HLOOKUP($I84,味方耐性,U$12,0))*VLOOKUP($J84,貫通力,2+S27,0)),0))</f>
        <v/>
      </c>
      <c r="V84" s="260"/>
      <c r="W84" s="257" t="str">
        <f t="shared" ref="W84:W91" ca="1" si="173">IF(OR(NOT($J84="魔"),$H84="",W$83=""),"",ROUNDDOWN(((W16-HLOOKUP($I84,味方耐性,W$12,0))*VLOOKUP($J84,貫通力,2+W27,0)),0))</f>
        <v/>
      </c>
      <c r="X84" s="258"/>
      <c r="Y84" s="259" t="str">
        <f t="shared" ref="Y84:Y91" ca="1" si="174">IF(OR(NOT($J84="魔"),$H84="",W$83=""),"",ROUNDDOWN(((Y16-HLOOKUP($I84,味方耐性,Y$12,0))*VLOOKUP($J84,貫通力,2+W27,0)),0))</f>
        <v/>
      </c>
      <c r="Z84" s="260"/>
      <c r="AA84" s="257" t="str">
        <f t="shared" ref="AA84:AA91" ca="1" si="175">IF(OR(NOT($J84="魔"),$H84="",AA$83=""),"",ROUNDDOWN(((AA16-HLOOKUP($I84,味方耐性,AA$12,0))*VLOOKUP($J84,貫通力,2+AA27,0)),0))</f>
        <v/>
      </c>
      <c r="AB84" s="258"/>
      <c r="AC84" s="259" t="str">
        <f t="shared" ref="AC84:AC91" ca="1" si="176">IF(OR(NOT($J84="魔"),$H84="",AA$83=""),"",ROUNDDOWN(((AC16-HLOOKUP($I84,味方耐性,AC$12,0))*VLOOKUP($J84,貫通力,2+AA27,0)),0))</f>
        <v/>
      </c>
      <c r="AD84" s="260"/>
      <c r="AE84" s="257" t="str">
        <f t="shared" ref="AE84:AE91" ca="1" si="177">IF(OR(NOT($J84="魔"),$H84="",AE$83=""),"",ROUNDDOWN(((AE16-HLOOKUP($I84,味方耐性,AE$12,0))*VLOOKUP($J84,貫通力,2+AE27,0)),0))</f>
        <v/>
      </c>
      <c r="AF84" s="258"/>
      <c r="AG84" s="259" t="str">
        <f t="shared" ref="AG84:AG91" ca="1" si="178">IF(OR(NOT($J84="魔"),$H84="",AE$83=""),"",ROUNDDOWN(((AG16-HLOOKUP($I84,味方耐性,AG$12,0))*VLOOKUP($J84,貫通力,2+AE27,0)),0))</f>
        <v/>
      </c>
      <c r="AH84" s="260"/>
      <c r="AI84" s="257" t="str">
        <f t="shared" ref="AI84:AI91" ca="1" si="179">IF(OR(NOT($J84="魔"),$H84="",AI$83=""),"",ROUNDDOWN(((AI16-HLOOKUP($I84,味方耐性,AI$12,0))*VLOOKUP($J84,貫通力,2+AI27,0)),0))</f>
        <v/>
      </c>
      <c r="AJ84" s="258"/>
      <c r="AK84" s="259" t="str">
        <f t="shared" ref="AK84:AK91" ca="1" si="180">IF(OR(NOT($J84="魔"),$H84="",AI$83=""),"",ROUNDDOWN(((AK16-HLOOKUP($I84,味方耐性,AK$12,0))*VLOOKUP($J84,貫通力,2+AI27,0)),0))</f>
        <v/>
      </c>
      <c r="AL84" s="260"/>
      <c r="AM84" s="257" t="str">
        <f t="shared" ref="AM84:AM91" ca="1" si="181">IF(OR(NOT($J84="魔"),$H84="",AM$83=""),"",ROUNDDOWN(((AM16-HLOOKUP($I84,味方耐性,AM$12,0))*VLOOKUP($J84,貫通力,2+AM27,0)),0))</f>
        <v/>
      </c>
      <c r="AN84" s="258"/>
      <c r="AO84" s="259" t="str">
        <f t="shared" ref="AO84:AO91" ca="1" si="182">IF(OR(NOT($J84="魔"),$H84="",AM$83=""),"",ROUNDDOWN(((AO16-HLOOKUP($I84,味方耐性,AO$12,0))*VLOOKUP($J84,貫通力,2+AM27,0)),0))</f>
        <v/>
      </c>
      <c r="AP84" s="260"/>
      <c r="AQ84" s="261"/>
      <c r="AR84" s="262"/>
    </row>
    <row r="85" spans="2:44" x14ac:dyDescent="0.15">
      <c r="B85" s="9">
        <f t="shared" ca="1" si="153"/>
        <v>0</v>
      </c>
      <c r="C85" s="9">
        <f t="shared" ca="1" si="154"/>
        <v>0</v>
      </c>
      <c r="D85" s="9">
        <v>635</v>
      </c>
      <c r="H85" s="98" t="str">
        <f t="shared" ref="H85:H91" ca="1" si="183">$H17</f>
        <v>デスタムーア3</v>
      </c>
      <c r="I85" s="108" t="str">
        <f>IF(計算!F37="","",VLOOKUP(計算!F37,敵技,4,0))</f>
        <v>メ</v>
      </c>
      <c r="J85" s="108" t="str">
        <f>IF(計算!F37="","",VLOOKUP(計算!F37,敵技,5,0))</f>
        <v>中</v>
      </c>
      <c r="K85" s="257" t="str">
        <f t="shared" ref="K85:K91" ca="1" si="184">IF(OR(NOT($J85="魔"),$H85="",K$83=""),"",ROUNDDOWN(((K17-HLOOKUP($I85,味方耐性,K$12,0))*VLOOKUP($J85,貫通力,2+K28,0)),0))</f>
        <v/>
      </c>
      <c r="L85" s="258"/>
      <c r="M85" s="259" t="str">
        <f t="shared" ca="1" si="168"/>
        <v/>
      </c>
      <c r="N85" s="260"/>
      <c r="O85" s="257" t="str">
        <f t="shared" ca="1" si="169"/>
        <v/>
      </c>
      <c r="P85" s="258"/>
      <c r="Q85" s="259" t="str">
        <f t="shared" ca="1" si="170"/>
        <v/>
      </c>
      <c r="R85" s="260"/>
      <c r="S85" s="257" t="str">
        <f t="shared" ca="1" si="171"/>
        <v/>
      </c>
      <c r="T85" s="258"/>
      <c r="U85" s="259" t="str">
        <f t="shared" ca="1" si="172"/>
        <v/>
      </c>
      <c r="V85" s="260"/>
      <c r="W85" s="257" t="str">
        <f t="shared" ca="1" si="173"/>
        <v/>
      </c>
      <c r="X85" s="258"/>
      <c r="Y85" s="259" t="str">
        <f t="shared" ca="1" si="174"/>
        <v/>
      </c>
      <c r="Z85" s="260"/>
      <c r="AA85" s="257" t="str">
        <f t="shared" ca="1" si="175"/>
        <v/>
      </c>
      <c r="AB85" s="258"/>
      <c r="AC85" s="259" t="str">
        <f t="shared" ca="1" si="176"/>
        <v/>
      </c>
      <c r="AD85" s="260"/>
      <c r="AE85" s="257" t="str">
        <f t="shared" ca="1" si="177"/>
        <v/>
      </c>
      <c r="AF85" s="258"/>
      <c r="AG85" s="259" t="str">
        <f t="shared" ca="1" si="178"/>
        <v/>
      </c>
      <c r="AH85" s="260"/>
      <c r="AI85" s="257" t="str">
        <f t="shared" ca="1" si="179"/>
        <v/>
      </c>
      <c r="AJ85" s="258"/>
      <c r="AK85" s="259" t="str">
        <f t="shared" ca="1" si="180"/>
        <v/>
      </c>
      <c r="AL85" s="260"/>
      <c r="AM85" s="257" t="str">
        <f t="shared" ca="1" si="181"/>
        <v/>
      </c>
      <c r="AN85" s="258"/>
      <c r="AO85" s="259" t="str">
        <f ca="1">IF(OR(NOT($J85="魔"),$H85="",AM$83=""),"",ROUNDDOWN(((AO17-HLOOKUP($I85,味方耐性,AO$12,0))*VLOOKUP($J85,貫通力,2+AM28,0)),0))</f>
        <v/>
      </c>
      <c r="AP85" s="260"/>
      <c r="AQ85" s="261"/>
      <c r="AR85" s="262"/>
    </row>
    <row r="86" spans="2:44" x14ac:dyDescent="0.15">
      <c r="B86" s="9">
        <f t="shared" ca="1" si="153"/>
        <v>0</v>
      </c>
      <c r="C86" s="9">
        <f t="shared" ca="1" si="154"/>
        <v>0</v>
      </c>
      <c r="D86" s="9">
        <v>643</v>
      </c>
      <c r="H86" s="98" t="str">
        <f t="shared" ca="1" si="183"/>
        <v>デスタムーア3</v>
      </c>
      <c r="I86" s="108" t="str">
        <f>IF(計算!F38="","",VLOOKUP(計算!F38,敵技,4,0))</f>
        <v>雪</v>
      </c>
      <c r="J86" s="108" t="str">
        <f>IF(計算!F38="","",VLOOKUP(計算!F38,敵技,5,0))</f>
        <v>高</v>
      </c>
      <c r="K86" s="257" t="str">
        <f t="shared" ca="1" si="184"/>
        <v/>
      </c>
      <c r="L86" s="258"/>
      <c r="M86" s="259" t="str">
        <f t="shared" ca="1" si="168"/>
        <v/>
      </c>
      <c r="N86" s="260"/>
      <c r="O86" s="257" t="str">
        <f t="shared" ca="1" si="169"/>
        <v/>
      </c>
      <c r="P86" s="258"/>
      <c r="Q86" s="259" t="str">
        <f t="shared" ca="1" si="170"/>
        <v/>
      </c>
      <c r="R86" s="260"/>
      <c r="S86" s="257" t="str">
        <f t="shared" ca="1" si="171"/>
        <v/>
      </c>
      <c r="T86" s="258"/>
      <c r="U86" s="259" t="str">
        <f t="shared" ca="1" si="172"/>
        <v/>
      </c>
      <c r="V86" s="260"/>
      <c r="W86" s="257" t="str">
        <f t="shared" ca="1" si="173"/>
        <v/>
      </c>
      <c r="X86" s="258"/>
      <c r="Y86" s="259" t="str">
        <f t="shared" ca="1" si="174"/>
        <v/>
      </c>
      <c r="Z86" s="260"/>
      <c r="AA86" s="257" t="str">
        <f t="shared" ca="1" si="175"/>
        <v/>
      </c>
      <c r="AB86" s="258"/>
      <c r="AC86" s="259" t="str">
        <f t="shared" ca="1" si="176"/>
        <v/>
      </c>
      <c r="AD86" s="260"/>
      <c r="AE86" s="257" t="str">
        <f t="shared" ca="1" si="177"/>
        <v/>
      </c>
      <c r="AF86" s="258"/>
      <c r="AG86" s="259" t="str">
        <f t="shared" ca="1" si="178"/>
        <v/>
      </c>
      <c r="AH86" s="260"/>
      <c r="AI86" s="257" t="str">
        <f t="shared" ca="1" si="179"/>
        <v/>
      </c>
      <c r="AJ86" s="258"/>
      <c r="AK86" s="259" t="str">
        <f t="shared" ca="1" si="180"/>
        <v/>
      </c>
      <c r="AL86" s="260"/>
      <c r="AM86" s="257" t="str">
        <f t="shared" ca="1" si="181"/>
        <v/>
      </c>
      <c r="AN86" s="258"/>
      <c r="AO86" s="259" t="str">
        <f t="shared" ca="1" si="182"/>
        <v/>
      </c>
      <c r="AP86" s="260"/>
      <c r="AQ86" s="261"/>
      <c r="AR86" s="262"/>
    </row>
    <row r="87" spans="2:44" x14ac:dyDescent="0.15">
      <c r="B87" s="9">
        <f t="shared" ca="1" si="153"/>
        <v>0</v>
      </c>
      <c r="C87" s="9">
        <f t="shared" ca="1" si="154"/>
        <v>0</v>
      </c>
      <c r="D87" s="9">
        <v>651</v>
      </c>
      <c r="H87" s="98" t="str">
        <f t="shared" ca="1" si="183"/>
        <v>デスタムーア3</v>
      </c>
      <c r="I87" s="108" t="str">
        <f>IF(計算!F39="","",VLOOKUP(計算!F39,敵技,4,0))</f>
        <v>イ</v>
      </c>
      <c r="J87" s="108" t="str">
        <f>IF(計算!F39="","",VLOOKUP(計算!F39,敵技,5,0))</f>
        <v>中</v>
      </c>
      <c r="K87" s="257" t="str">
        <f t="shared" ca="1" si="184"/>
        <v/>
      </c>
      <c r="L87" s="258"/>
      <c r="M87" s="259" t="str">
        <f t="shared" ca="1" si="168"/>
        <v/>
      </c>
      <c r="N87" s="260"/>
      <c r="O87" s="257" t="str">
        <f t="shared" ca="1" si="169"/>
        <v/>
      </c>
      <c r="P87" s="258"/>
      <c r="Q87" s="259" t="str">
        <f t="shared" ca="1" si="170"/>
        <v/>
      </c>
      <c r="R87" s="260"/>
      <c r="S87" s="257" t="str">
        <f t="shared" ca="1" si="171"/>
        <v/>
      </c>
      <c r="T87" s="258"/>
      <c r="U87" s="259" t="str">
        <f t="shared" ca="1" si="172"/>
        <v/>
      </c>
      <c r="V87" s="260"/>
      <c r="W87" s="257" t="str">
        <f t="shared" ca="1" si="173"/>
        <v/>
      </c>
      <c r="X87" s="258"/>
      <c r="Y87" s="259" t="str">
        <f t="shared" ca="1" si="174"/>
        <v/>
      </c>
      <c r="Z87" s="260"/>
      <c r="AA87" s="257" t="str">
        <f t="shared" ca="1" si="175"/>
        <v/>
      </c>
      <c r="AB87" s="258"/>
      <c r="AC87" s="259" t="str">
        <f t="shared" ca="1" si="176"/>
        <v/>
      </c>
      <c r="AD87" s="260"/>
      <c r="AE87" s="257" t="str">
        <f t="shared" ca="1" si="177"/>
        <v/>
      </c>
      <c r="AF87" s="258"/>
      <c r="AG87" s="259" t="str">
        <f t="shared" ca="1" si="178"/>
        <v/>
      </c>
      <c r="AH87" s="260"/>
      <c r="AI87" s="257" t="str">
        <f t="shared" ca="1" si="179"/>
        <v/>
      </c>
      <c r="AJ87" s="258"/>
      <c r="AK87" s="259" t="str">
        <f t="shared" ca="1" si="180"/>
        <v/>
      </c>
      <c r="AL87" s="260"/>
      <c r="AM87" s="257" t="str">
        <f t="shared" ca="1" si="181"/>
        <v/>
      </c>
      <c r="AN87" s="258"/>
      <c r="AO87" s="259" t="str">
        <f t="shared" ca="1" si="182"/>
        <v/>
      </c>
      <c r="AP87" s="260"/>
      <c r="AQ87" s="261"/>
      <c r="AR87" s="262"/>
    </row>
    <row r="88" spans="2:44" x14ac:dyDescent="0.15">
      <c r="B88" s="9">
        <f t="shared" ca="1" si="153"/>
        <v>0</v>
      </c>
      <c r="C88" s="9">
        <f t="shared" ca="1" si="154"/>
        <v>0</v>
      </c>
      <c r="D88" s="9">
        <v>659</v>
      </c>
      <c r="H88" s="98" t="str">
        <f t="shared" ca="1" si="183"/>
        <v>デスタムーア3</v>
      </c>
      <c r="I88" s="108" t="str">
        <f>IF(計算!F40="","",VLOOKUP(計算!F40,敵技,4,0))</f>
        <v>炎</v>
      </c>
      <c r="J88" s="108" t="str">
        <f>IF(計算!F40="","",VLOOKUP(計算!F40,敵技,5,0))</f>
        <v>高</v>
      </c>
      <c r="K88" s="257" t="str">
        <f t="shared" ca="1" si="184"/>
        <v/>
      </c>
      <c r="L88" s="258"/>
      <c r="M88" s="259" t="str">
        <f t="shared" ca="1" si="168"/>
        <v/>
      </c>
      <c r="N88" s="260"/>
      <c r="O88" s="257" t="str">
        <f t="shared" ca="1" si="169"/>
        <v/>
      </c>
      <c r="P88" s="258"/>
      <c r="Q88" s="259" t="str">
        <f t="shared" ca="1" si="170"/>
        <v/>
      </c>
      <c r="R88" s="260"/>
      <c r="S88" s="257" t="str">
        <f t="shared" ca="1" si="171"/>
        <v/>
      </c>
      <c r="T88" s="258"/>
      <c r="U88" s="259" t="str">
        <f t="shared" ca="1" si="172"/>
        <v/>
      </c>
      <c r="V88" s="260"/>
      <c r="W88" s="257" t="str">
        <f t="shared" ca="1" si="173"/>
        <v/>
      </c>
      <c r="X88" s="258"/>
      <c r="Y88" s="259" t="str">
        <f t="shared" ca="1" si="174"/>
        <v/>
      </c>
      <c r="Z88" s="260"/>
      <c r="AA88" s="257" t="str">
        <f t="shared" ca="1" si="175"/>
        <v/>
      </c>
      <c r="AB88" s="258"/>
      <c r="AC88" s="259" t="str">
        <f t="shared" ca="1" si="176"/>
        <v/>
      </c>
      <c r="AD88" s="260"/>
      <c r="AE88" s="257" t="str">
        <f t="shared" ca="1" si="177"/>
        <v/>
      </c>
      <c r="AF88" s="258"/>
      <c r="AG88" s="259" t="str">
        <f t="shared" ca="1" si="178"/>
        <v/>
      </c>
      <c r="AH88" s="260"/>
      <c r="AI88" s="257" t="str">
        <f t="shared" ca="1" si="179"/>
        <v/>
      </c>
      <c r="AJ88" s="258"/>
      <c r="AK88" s="259" t="str">
        <f t="shared" ca="1" si="180"/>
        <v/>
      </c>
      <c r="AL88" s="260"/>
      <c r="AM88" s="257" t="str">
        <f t="shared" ca="1" si="181"/>
        <v/>
      </c>
      <c r="AN88" s="258"/>
      <c r="AO88" s="259" t="str">
        <f t="shared" ca="1" si="182"/>
        <v/>
      </c>
      <c r="AP88" s="260"/>
      <c r="AQ88" s="261"/>
      <c r="AR88" s="262"/>
    </row>
    <row r="89" spans="2:44" x14ac:dyDescent="0.15">
      <c r="B89" s="9">
        <f t="shared" ca="1" si="153"/>
        <v>0</v>
      </c>
      <c r="C89" s="9">
        <f t="shared" ca="1" si="154"/>
        <v>0</v>
      </c>
      <c r="D89" s="9">
        <v>667</v>
      </c>
      <c r="H89" s="98" t="str">
        <f t="shared" ca="1" si="183"/>
        <v>ひだりて</v>
      </c>
      <c r="I89" s="108" t="str">
        <f>IF(計算!F41="","",VLOOKUP(計算!F41,敵技,4,0))</f>
        <v>叩</v>
      </c>
      <c r="J89" s="108" t="str">
        <f>IF(計算!F41="","",VLOOKUP(計算!F41,敵技,5,0))</f>
        <v>物理</v>
      </c>
      <c r="K89" s="257" t="str">
        <f t="shared" ca="1" si="184"/>
        <v/>
      </c>
      <c r="L89" s="258"/>
      <c r="M89" s="259" t="str">
        <f t="shared" ca="1" si="168"/>
        <v/>
      </c>
      <c r="N89" s="260"/>
      <c r="O89" s="257" t="str">
        <f t="shared" ca="1" si="169"/>
        <v/>
      </c>
      <c r="P89" s="258"/>
      <c r="Q89" s="259" t="str">
        <f t="shared" ca="1" si="170"/>
        <v/>
      </c>
      <c r="R89" s="260"/>
      <c r="S89" s="257" t="str">
        <f t="shared" ca="1" si="171"/>
        <v/>
      </c>
      <c r="T89" s="258"/>
      <c r="U89" s="259" t="str">
        <f t="shared" ca="1" si="172"/>
        <v/>
      </c>
      <c r="V89" s="260"/>
      <c r="W89" s="257" t="str">
        <f t="shared" ca="1" si="173"/>
        <v/>
      </c>
      <c r="X89" s="258"/>
      <c r="Y89" s="259" t="str">
        <f t="shared" ca="1" si="174"/>
        <v/>
      </c>
      <c r="Z89" s="260"/>
      <c r="AA89" s="257" t="str">
        <f t="shared" ca="1" si="175"/>
        <v/>
      </c>
      <c r="AB89" s="258"/>
      <c r="AC89" s="259" t="str">
        <f t="shared" ca="1" si="176"/>
        <v/>
      </c>
      <c r="AD89" s="260"/>
      <c r="AE89" s="257" t="str">
        <f t="shared" ca="1" si="177"/>
        <v/>
      </c>
      <c r="AF89" s="258"/>
      <c r="AG89" s="259" t="str">
        <f t="shared" ca="1" si="178"/>
        <v/>
      </c>
      <c r="AH89" s="260"/>
      <c r="AI89" s="257" t="str">
        <f t="shared" ca="1" si="179"/>
        <v/>
      </c>
      <c r="AJ89" s="258"/>
      <c r="AK89" s="259" t="str">
        <f t="shared" ca="1" si="180"/>
        <v/>
      </c>
      <c r="AL89" s="260"/>
      <c r="AM89" s="257" t="str">
        <f t="shared" ca="1" si="181"/>
        <v/>
      </c>
      <c r="AN89" s="258"/>
      <c r="AO89" s="259" t="str">
        <f t="shared" ca="1" si="182"/>
        <v/>
      </c>
      <c r="AP89" s="260"/>
      <c r="AQ89" s="261"/>
      <c r="AR89" s="262"/>
    </row>
    <row r="90" spans="2:44" x14ac:dyDescent="0.15">
      <c r="B90" s="9">
        <f t="shared" ca="1" si="153"/>
        <v>0</v>
      </c>
      <c r="C90" s="9">
        <f t="shared" ca="1" si="154"/>
        <v>0</v>
      </c>
      <c r="D90" s="9">
        <v>675</v>
      </c>
      <c r="H90" s="98" t="str">
        <f t="shared" ca="1" si="183"/>
        <v>みぎて</v>
      </c>
      <c r="I90" s="108" t="str">
        <f>IF(計算!F42="","",VLOOKUP(計算!F42,敵技,4,0))</f>
        <v>叩</v>
      </c>
      <c r="J90" s="108" t="str">
        <f>IF(計算!F42="","",VLOOKUP(計算!F42,敵技,5,0))</f>
        <v>物理</v>
      </c>
      <c r="K90" s="257" t="str">
        <f t="shared" ca="1" si="184"/>
        <v/>
      </c>
      <c r="L90" s="258"/>
      <c r="M90" s="259" t="str">
        <f t="shared" ca="1" si="168"/>
        <v/>
      </c>
      <c r="N90" s="260"/>
      <c r="O90" s="257" t="str">
        <f t="shared" ca="1" si="169"/>
        <v/>
      </c>
      <c r="P90" s="258"/>
      <c r="Q90" s="259" t="str">
        <f t="shared" ca="1" si="170"/>
        <v/>
      </c>
      <c r="R90" s="260"/>
      <c r="S90" s="257" t="str">
        <f t="shared" ca="1" si="171"/>
        <v/>
      </c>
      <c r="T90" s="258"/>
      <c r="U90" s="259" t="str">
        <f t="shared" ca="1" si="172"/>
        <v/>
      </c>
      <c r="V90" s="260"/>
      <c r="W90" s="257" t="str">
        <f t="shared" ca="1" si="173"/>
        <v/>
      </c>
      <c r="X90" s="258"/>
      <c r="Y90" s="259" t="str">
        <f t="shared" ca="1" si="174"/>
        <v/>
      </c>
      <c r="Z90" s="260"/>
      <c r="AA90" s="257" t="str">
        <f t="shared" ca="1" si="175"/>
        <v/>
      </c>
      <c r="AB90" s="258"/>
      <c r="AC90" s="259" t="str">
        <f t="shared" ca="1" si="176"/>
        <v/>
      </c>
      <c r="AD90" s="260"/>
      <c r="AE90" s="257" t="str">
        <f t="shared" ca="1" si="177"/>
        <v/>
      </c>
      <c r="AF90" s="258"/>
      <c r="AG90" s="259" t="str">
        <f t="shared" ca="1" si="178"/>
        <v/>
      </c>
      <c r="AH90" s="260"/>
      <c r="AI90" s="257" t="str">
        <f t="shared" ca="1" si="179"/>
        <v/>
      </c>
      <c r="AJ90" s="258"/>
      <c r="AK90" s="259" t="str">
        <f t="shared" ca="1" si="180"/>
        <v/>
      </c>
      <c r="AL90" s="260"/>
      <c r="AM90" s="257" t="str">
        <f t="shared" ca="1" si="181"/>
        <v/>
      </c>
      <c r="AN90" s="258"/>
      <c r="AO90" s="259" t="str">
        <f t="shared" ca="1" si="182"/>
        <v/>
      </c>
      <c r="AP90" s="260"/>
      <c r="AQ90" s="261"/>
      <c r="AR90" s="262"/>
    </row>
    <row r="91" spans="2:44" x14ac:dyDescent="0.15">
      <c r="B91" s="9">
        <f t="shared" ca="1" si="153"/>
        <v>0</v>
      </c>
      <c r="C91" s="9">
        <f t="shared" ca="1" si="154"/>
        <v>0</v>
      </c>
      <c r="D91" s="9">
        <v>683</v>
      </c>
      <c r="H91" s="98" t="str">
        <f t="shared" ca="1" si="183"/>
        <v>みぎて</v>
      </c>
      <c r="I91" s="108" t="str">
        <f>IF(計算!F43="","",VLOOKUP(計算!F43,敵技,4,0))</f>
        <v>なし</v>
      </c>
      <c r="J91" s="108" t="str">
        <f>IF(計算!F43="","",VLOOKUP(計算!F43,敵技,5,0))</f>
        <v>物理</v>
      </c>
      <c r="K91" s="257" t="str">
        <f t="shared" ca="1" si="184"/>
        <v/>
      </c>
      <c r="L91" s="258"/>
      <c r="M91" s="259" t="str">
        <f t="shared" ca="1" si="168"/>
        <v/>
      </c>
      <c r="N91" s="260"/>
      <c r="O91" s="257" t="str">
        <f t="shared" ca="1" si="169"/>
        <v/>
      </c>
      <c r="P91" s="258"/>
      <c r="Q91" s="259" t="str">
        <f t="shared" ca="1" si="170"/>
        <v/>
      </c>
      <c r="R91" s="260"/>
      <c r="S91" s="257" t="str">
        <f t="shared" ca="1" si="171"/>
        <v/>
      </c>
      <c r="T91" s="258"/>
      <c r="U91" s="259" t="str">
        <f t="shared" ca="1" si="172"/>
        <v/>
      </c>
      <c r="V91" s="260"/>
      <c r="W91" s="257" t="str">
        <f t="shared" ca="1" si="173"/>
        <v/>
      </c>
      <c r="X91" s="258"/>
      <c r="Y91" s="259" t="str">
        <f t="shared" ca="1" si="174"/>
        <v/>
      </c>
      <c r="Z91" s="260"/>
      <c r="AA91" s="257" t="str">
        <f t="shared" ca="1" si="175"/>
        <v/>
      </c>
      <c r="AB91" s="258"/>
      <c r="AC91" s="259" t="str">
        <f t="shared" ca="1" si="176"/>
        <v/>
      </c>
      <c r="AD91" s="260"/>
      <c r="AE91" s="257" t="str">
        <f t="shared" ca="1" si="177"/>
        <v/>
      </c>
      <c r="AF91" s="258"/>
      <c r="AG91" s="259" t="str">
        <f t="shared" ca="1" si="178"/>
        <v/>
      </c>
      <c r="AH91" s="260"/>
      <c r="AI91" s="257" t="str">
        <f t="shared" ca="1" si="179"/>
        <v/>
      </c>
      <c r="AJ91" s="258"/>
      <c r="AK91" s="259" t="str">
        <f t="shared" ca="1" si="180"/>
        <v/>
      </c>
      <c r="AL91" s="260"/>
      <c r="AM91" s="257" t="str">
        <f t="shared" ca="1" si="181"/>
        <v/>
      </c>
      <c r="AN91" s="258"/>
      <c r="AO91" s="259" t="str">
        <f t="shared" ca="1" si="182"/>
        <v/>
      </c>
      <c r="AP91" s="260"/>
      <c r="AQ91" s="261"/>
      <c r="AR91" s="262"/>
    </row>
    <row r="92" spans="2:44" x14ac:dyDescent="0.15">
      <c r="B92" s="9">
        <f t="shared" ca="1" si="153"/>
        <v>0</v>
      </c>
      <c r="C92" s="9">
        <f t="shared" ca="1" si="154"/>
        <v>0</v>
      </c>
      <c r="D92" s="9">
        <v>691</v>
      </c>
    </row>
    <row r="93" spans="2:44" x14ac:dyDescent="0.15">
      <c r="B93" s="9">
        <f t="shared" ca="1" si="153"/>
        <v>0</v>
      </c>
      <c r="C93" s="9">
        <f t="shared" ca="1" si="154"/>
        <v>0</v>
      </c>
      <c r="D93" s="9">
        <v>699</v>
      </c>
    </row>
    <row r="94" spans="2:44" x14ac:dyDescent="0.15">
      <c r="B94" s="9">
        <f t="shared" ca="1" si="153"/>
        <v>0</v>
      </c>
      <c r="C94" s="9">
        <f t="shared" ca="1" si="154"/>
        <v>0</v>
      </c>
      <c r="D94" s="9">
        <v>707</v>
      </c>
    </row>
    <row r="95" spans="2:44" x14ac:dyDescent="0.15">
      <c r="B95" s="9">
        <f t="shared" ca="1" si="153"/>
        <v>0</v>
      </c>
      <c r="C95" s="9">
        <f t="shared" ca="1" si="154"/>
        <v>0</v>
      </c>
      <c r="D95" s="9">
        <v>715</v>
      </c>
    </row>
    <row r="96" spans="2:44" x14ac:dyDescent="0.15">
      <c r="B96" s="9">
        <f t="shared" ca="1" si="153"/>
        <v>0</v>
      </c>
      <c r="C96" s="9">
        <f t="shared" ca="1" si="154"/>
        <v>0</v>
      </c>
      <c r="D96" s="9">
        <v>723</v>
      </c>
      <c r="K96" s="136"/>
    </row>
    <row r="97" spans="2:4" x14ac:dyDescent="0.15">
      <c r="B97" s="9">
        <f t="shared" ca="1" si="153"/>
        <v>0</v>
      </c>
      <c r="C97" s="9">
        <f t="shared" ca="1" si="154"/>
        <v>0</v>
      </c>
      <c r="D97" s="9">
        <v>731</v>
      </c>
    </row>
    <row r="98" spans="2:4" x14ac:dyDescent="0.15">
      <c r="B98" s="9">
        <f t="shared" ca="1" si="153"/>
        <v>0</v>
      </c>
      <c r="C98" s="9">
        <f t="shared" ca="1" si="154"/>
        <v>0</v>
      </c>
      <c r="D98" s="9">
        <v>739</v>
      </c>
    </row>
    <row r="99" spans="2:4" x14ac:dyDescent="0.15">
      <c r="B99" s="9">
        <f t="shared" ca="1" si="153"/>
        <v>0</v>
      </c>
      <c r="C99" s="9">
        <f t="shared" ca="1" si="154"/>
        <v>0</v>
      </c>
      <c r="D99" s="9">
        <v>747</v>
      </c>
    </row>
    <row r="100" spans="2:4" x14ac:dyDescent="0.15">
      <c r="B100" s="9">
        <f t="shared" ca="1" si="153"/>
        <v>0</v>
      </c>
      <c r="C100" s="9">
        <f t="shared" ca="1" si="154"/>
        <v>0</v>
      </c>
      <c r="D100" s="9">
        <v>755</v>
      </c>
    </row>
    <row r="101" spans="2:4" x14ac:dyDescent="0.15">
      <c r="B101" s="9">
        <f t="shared" ca="1" si="153"/>
        <v>0</v>
      </c>
      <c r="C101" s="9">
        <f t="shared" ca="1" si="154"/>
        <v>0</v>
      </c>
      <c r="D101" s="9">
        <v>763</v>
      </c>
    </row>
    <row r="102" spans="2:4" x14ac:dyDescent="0.15">
      <c r="B102" s="9">
        <f t="shared" ca="1" si="153"/>
        <v>0</v>
      </c>
      <c r="C102" s="9">
        <f t="shared" ca="1" si="154"/>
        <v>0</v>
      </c>
      <c r="D102" s="9">
        <v>771</v>
      </c>
    </row>
    <row r="103" spans="2:4" x14ac:dyDescent="0.15">
      <c r="B103" s="9">
        <f t="shared" ca="1" si="153"/>
        <v>0</v>
      </c>
      <c r="C103" s="9">
        <f t="shared" ca="1" si="154"/>
        <v>0</v>
      </c>
      <c r="D103" s="9">
        <v>779</v>
      </c>
    </row>
    <row r="104" spans="2:4" x14ac:dyDescent="0.15">
      <c r="B104" s="9">
        <f t="shared" ca="1" si="153"/>
        <v>0</v>
      </c>
      <c r="C104" s="9">
        <f t="shared" ca="1" si="154"/>
        <v>0</v>
      </c>
      <c r="D104" s="9">
        <v>787</v>
      </c>
    </row>
    <row r="105" spans="2:4" x14ac:dyDescent="0.15">
      <c r="B105" s="10">
        <f t="shared" ca="1" si="153"/>
        <v>0</v>
      </c>
      <c r="C105" s="10">
        <f t="shared" ca="1" si="154"/>
        <v>0</v>
      </c>
      <c r="D105" s="10">
        <v>795</v>
      </c>
    </row>
  </sheetData>
  <mergeCells count="1799">
    <mergeCell ref="AW56:AX56"/>
    <mergeCell ref="AY56:AZ56"/>
    <mergeCell ref="BA56:BB56"/>
    <mergeCell ref="BC56:BD56"/>
    <mergeCell ref="BE56:BF56"/>
    <mergeCell ref="BG56:BH56"/>
    <mergeCell ref="BI56:BJ56"/>
    <mergeCell ref="BK56:BL56"/>
    <mergeCell ref="BM56:BN56"/>
    <mergeCell ref="BO56:BP56"/>
    <mergeCell ref="BQ56:BR56"/>
    <mergeCell ref="BS56:BT56"/>
    <mergeCell ref="BU56:BV56"/>
    <mergeCell ref="BW56:BX56"/>
    <mergeCell ref="BY56:BZ56"/>
    <mergeCell ref="CA56:CB56"/>
    <mergeCell ref="AW57:AX57"/>
    <mergeCell ref="AY57:AZ57"/>
    <mergeCell ref="BA57:BB57"/>
    <mergeCell ref="BC57:BD57"/>
    <mergeCell ref="BE57:BF57"/>
    <mergeCell ref="BG57:BH57"/>
    <mergeCell ref="BI57:BJ57"/>
    <mergeCell ref="BK57:BL57"/>
    <mergeCell ref="BM57:BN57"/>
    <mergeCell ref="BO57:BP57"/>
    <mergeCell ref="BQ57:BR57"/>
    <mergeCell ref="BS57:BT57"/>
    <mergeCell ref="BU57:BV57"/>
    <mergeCell ref="BW57:BX57"/>
    <mergeCell ref="BY57:BZ57"/>
    <mergeCell ref="CA57:CB57"/>
    <mergeCell ref="AW54:AX54"/>
    <mergeCell ref="AY54:AZ54"/>
    <mergeCell ref="BA54:BB54"/>
    <mergeCell ref="BC54:BD54"/>
    <mergeCell ref="BE54:BF54"/>
    <mergeCell ref="BG54:BH54"/>
    <mergeCell ref="BI54:BJ54"/>
    <mergeCell ref="BK54:BL54"/>
    <mergeCell ref="BM54:BN54"/>
    <mergeCell ref="BO54:BP54"/>
    <mergeCell ref="BQ54:BR54"/>
    <mergeCell ref="BS54:BT54"/>
    <mergeCell ref="BU54:BV54"/>
    <mergeCell ref="BW54:BX54"/>
    <mergeCell ref="BY54:BZ54"/>
    <mergeCell ref="CA54:CB54"/>
    <mergeCell ref="AW55:AX55"/>
    <mergeCell ref="AY55:AZ55"/>
    <mergeCell ref="BA55:BB55"/>
    <mergeCell ref="BC55:BD55"/>
    <mergeCell ref="BE55:BF55"/>
    <mergeCell ref="BG55:BH55"/>
    <mergeCell ref="BI55:BJ55"/>
    <mergeCell ref="BK55:BL55"/>
    <mergeCell ref="BM55:BN55"/>
    <mergeCell ref="BO55:BP55"/>
    <mergeCell ref="BQ55:BR55"/>
    <mergeCell ref="BS55:BT55"/>
    <mergeCell ref="BU55:BV55"/>
    <mergeCell ref="BW55:BX55"/>
    <mergeCell ref="BY55:BZ55"/>
    <mergeCell ref="CA55:CB55"/>
    <mergeCell ref="AW52:AX52"/>
    <mergeCell ref="AY52:AZ52"/>
    <mergeCell ref="BA52:BB52"/>
    <mergeCell ref="BC52:BD52"/>
    <mergeCell ref="BE52:BF52"/>
    <mergeCell ref="BG52:BH52"/>
    <mergeCell ref="BI52:BJ52"/>
    <mergeCell ref="BK52:BL52"/>
    <mergeCell ref="BM52:BN52"/>
    <mergeCell ref="BO52:BP52"/>
    <mergeCell ref="BQ52:BR52"/>
    <mergeCell ref="BS52:BT52"/>
    <mergeCell ref="BU52:BV52"/>
    <mergeCell ref="BW52:BX52"/>
    <mergeCell ref="BY52:BZ52"/>
    <mergeCell ref="CA52:CB52"/>
    <mergeCell ref="AW53:AX53"/>
    <mergeCell ref="AY53:AZ53"/>
    <mergeCell ref="BA53:BB53"/>
    <mergeCell ref="BC53:BD53"/>
    <mergeCell ref="BE53:BF53"/>
    <mergeCell ref="BG53:BH53"/>
    <mergeCell ref="BI53:BJ53"/>
    <mergeCell ref="BK53:BL53"/>
    <mergeCell ref="BM53:BN53"/>
    <mergeCell ref="BO53:BP53"/>
    <mergeCell ref="BQ53:BR53"/>
    <mergeCell ref="BS53:BT53"/>
    <mergeCell ref="BU53:BV53"/>
    <mergeCell ref="BW53:BX53"/>
    <mergeCell ref="BY53:BZ53"/>
    <mergeCell ref="CA53:CB53"/>
    <mergeCell ref="AW50:AX50"/>
    <mergeCell ref="AY50:AZ50"/>
    <mergeCell ref="BA50:BB50"/>
    <mergeCell ref="BC50:BD50"/>
    <mergeCell ref="BE50:BF50"/>
    <mergeCell ref="BG50:BH50"/>
    <mergeCell ref="BI50:BJ50"/>
    <mergeCell ref="BK50:BL50"/>
    <mergeCell ref="BM50:BN50"/>
    <mergeCell ref="BO50:BP50"/>
    <mergeCell ref="BQ50:BR50"/>
    <mergeCell ref="BS50:BT50"/>
    <mergeCell ref="BU50:BV50"/>
    <mergeCell ref="BW50:BX50"/>
    <mergeCell ref="BY50:BZ50"/>
    <mergeCell ref="CA50:CB50"/>
    <mergeCell ref="AW51:AX51"/>
    <mergeCell ref="AY51:AZ51"/>
    <mergeCell ref="BA51:BB51"/>
    <mergeCell ref="BC51:BD51"/>
    <mergeCell ref="BE51:BF51"/>
    <mergeCell ref="BG51:BH51"/>
    <mergeCell ref="BI51:BJ51"/>
    <mergeCell ref="BK51:BL51"/>
    <mergeCell ref="BM51:BN51"/>
    <mergeCell ref="BO51:BP51"/>
    <mergeCell ref="BQ51:BR51"/>
    <mergeCell ref="BS51:BT51"/>
    <mergeCell ref="BU51:BV51"/>
    <mergeCell ref="BW51:BX51"/>
    <mergeCell ref="BY51:BZ51"/>
    <mergeCell ref="CA51:CB51"/>
    <mergeCell ref="AT48:CB48"/>
    <mergeCell ref="AW49:AZ49"/>
    <mergeCell ref="BA49:BD49"/>
    <mergeCell ref="BE49:BH49"/>
    <mergeCell ref="BI49:BL49"/>
    <mergeCell ref="BM49:BP49"/>
    <mergeCell ref="BQ49:BT49"/>
    <mergeCell ref="BU49:BX49"/>
    <mergeCell ref="BY49:CB49"/>
    <mergeCell ref="AW45:AX45"/>
    <mergeCell ref="AY45:AZ45"/>
    <mergeCell ref="BA45:BB45"/>
    <mergeCell ref="BC45:BD45"/>
    <mergeCell ref="BE45:BF45"/>
    <mergeCell ref="BG45:BH45"/>
    <mergeCell ref="BI45:BJ45"/>
    <mergeCell ref="BK45:BL45"/>
    <mergeCell ref="BM45:BN45"/>
    <mergeCell ref="BO45:BP45"/>
    <mergeCell ref="BQ45:BR45"/>
    <mergeCell ref="BS45:BT45"/>
    <mergeCell ref="BU45:BV45"/>
    <mergeCell ref="BW45:BX45"/>
    <mergeCell ref="BY45:BZ45"/>
    <mergeCell ref="CA45:CB45"/>
    <mergeCell ref="AW46:AX46"/>
    <mergeCell ref="AY46:AZ46"/>
    <mergeCell ref="BA46:BB46"/>
    <mergeCell ref="BC46:BD46"/>
    <mergeCell ref="BE46:BF46"/>
    <mergeCell ref="BG46:BH46"/>
    <mergeCell ref="BI46:BJ46"/>
    <mergeCell ref="BK46:BL46"/>
    <mergeCell ref="BM46:BN46"/>
    <mergeCell ref="BO46:BP46"/>
    <mergeCell ref="BQ46:BR46"/>
    <mergeCell ref="BS46:BT46"/>
    <mergeCell ref="BU46:BV46"/>
    <mergeCell ref="BW46:BX46"/>
    <mergeCell ref="BY46:BZ46"/>
    <mergeCell ref="CA46:CB46"/>
    <mergeCell ref="AW43:AX43"/>
    <mergeCell ref="AY43:AZ43"/>
    <mergeCell ref="BA43:BB43"/>
    <mergeCell ref="BC43:BD43"/>
    <mergeCell ref="BE43:BF43"/>
    <mergeCell ref="BG43:BH43"/>
    <mergeCell ref="BI43:BJ43"/>
    <mergeCell ref="BK43:BL43"/>
    <mergeCell ref="BM43:BN43"/>
    <mergeCell ref="BO43:BP43"/>
    <mergeCell ref="BQ43:BR43"/>
    <mergeCell ref="BS43:BT43"/>
    <mergeCell ref="BU43:BV43"/>
    <mergeCell ref="BW43:BX43"/>
    <mergeCell ref="BY43:BZ43"/>
    <mergeCell ref="CA43:CB43"/>
    <mergeCell ref="AW44:AX44"/>
    <mergeCell ref="AY44:AZ44"/>
    <mergeCell ref="BA44:BB44"/>
    <mergeCell ref="BC44:BD44"/>
    <mergeCell ref="BE44:BF44"/>
    <mergeCell ref="BG44:BH44"/>
    <mergeCell ref="BI44:BJ44"/>
    <mergeCell ref="BK44:BL44"/>
    <mergeCell ref="BM44:BN44"/>
    <mergeCell ref="BO44:BP44"/>
    <mergeCell ref="BQ44:BR44"/>
    <mergeCell ref="BS44:BT44"/>
    <mergeCell ref="BU44:BV44"/>
    <mergeCell ref="BW44:BX44"/>
    <mergeCell ref="BY44:BZ44"/>
    <mergeCell ref="CA44:CB44"/>
    <mergeCell ref="AW41:AX41"/>
    <mergeCell ref="AY41:AZ41"/>
    <mergeCell ref="BA41:BB41"/>
    <mergeCell ref="BC41:BD41"/>
    <mergeCell ref="BE41:BF41"/>
    <mergeCell ref="BG41:BH41"/>
    <mergeCell ref="BI41:BJ41"/>
    <mergeCell ref="BK41:BL41"/>
    <mergeCell ref="BM41:BN41"/>
    <mergeCell ref="BO41:BP41"/>
    <mergeCell ref="BQ41:BR41"/>
    <mergeCell ref="BS41:BT41"/>
    <mergeCell ref="BU41:BV41"/>
    <mergeCell ref="BW41:BX41"/>
    <mergeCell ref="BY41:BZ41"/>
    <mergeCell ref="CA41:CB41"/>
    <mergeCell ref="AW42:AX42"/>
    <mergeCell ref="AY42:AZ42"/>
    <mergeCell ref="BA42:BB42"/>
    <mergeCell ref="BC42:BD42"/>
    <mergeCell ref="BE42:BF42"/>
    <mergeCell ref="BG42:BH42"/>
    <mergeCell ref="BI42:BJ42"/>
    <mergeCell ref="BK42:BL42"/>
    <mergeCell ref="BM42:BN42"/>
    <mergeCell ref="BO42:BP42"/>
    <mergeCell ref="BQ42:BR42"/>
    <mergeCell ref="BS42:BT42"/>
    <mergeCell ref="BU42:BV42"/>
    <mergeCell ref="BW42:BX42"/>
    <mergeCell ref="BY42:BZ42"/>
    <mergeCell ref="CA42:CB42"/>
    <mergeCell ref="AW39:AX39"/>
    <mergeCell ref="AY39:AZ39"/>
    <mergeCell ref="BA39:BB39"/>
    <mergeCell ref="BC39:BD39"/>
    <mergeCell ref="BE39:BF39"/>
    <mergeCell ref="BG39:BH39"/>
    <mergeCell ref="BI39:BJ39"/>
    <mergeCell ref="BK39:BL39"/>
    <mergeCell ref="BM39:BN39"/>
    <mergeCell ref="BO39:BP39"/>
    <mergeCell ref="BQ39:BR39"/>
    <mergeCell ref="BS39:BT39"/>
    <mergeCell ref="BU39:BV39"/>
    <mergeCell ref="BW39:BX39"/>
    <mergeCell ref="BY39:BZ39"/>
    <mergeCell ref="CA39:CB39"/>
    <mergeCell ref="AW40:AX40"/>
    <mergeCell ref="AY40:AZ40"/>
    <mergeCell ref="BA40:BB40"/>
    <mergeCell ref="BC40:BD40"/>
    <mergeCell ref="BE40:BF40"/>
    <mergeCell ref="BG40:BH40"/>
    <mergeCell ref="BI40:BJ40"/>
    <mergeCell ref="BK40:BL40"/>
    <mergeCell ref="BM40:BN40"/>
    <mergeCell ref="BO40:BP40"/>
    <mergeCell ref="BQ40:BR40"/>
    <mergeCell ref="BS40:BT40"/>
    <mergeCell ref="BU40:BV40"/>
    <mergeCell ref="BW40:BX40"/>
    <mergeCell ref="BY40:BZ40"/>
    <mergeCell ref="CA40:CB40"/>
    <mergeCell ref="AT37:AV37"/>
    <mergeCell ref="AW37:AZ37"/>
    <mergeCell ref="BA37:BD37"/>
    <mergeCell ref="BE37:BH37"/>
    <mergeCell ref="BI37:BL37"/>
    <mergeCell ref="BM37:BP37"/>
    <mergeCell ref="BQ37:BT37"/>
    <mergeCell ref="BU37:BX37"/>
    <mergeCell ref="BY37:CB37"/>
    <mergeCell ref="AW38:AZ38"/>
    <mergeCell ref="BA38:BD38"/>
    <mergeCell ref="BE38:BH38"/>
    <mergeCell ref="BI38:BL38"/>
    <mergeCell ref="BM38:BP38"/>
    <mergeCell ref="BQ38:BT38"/>
    <mergeCell ref="BU38:BX38"/>
    <mergeCell ref="BY38:CB38"/>
    <mergeCell ref="AW34:AX34"/>
    <mergeCell ref="AY34:AZ34"/>
    <mergeCell ref="BA34:BB34"/>
    <mergeCell ref="BC34:BD34"/>
    <mergeCell ref="BE34:BF34"/>
    <mergeCell ref="BG34:BH34"/>
    <mergeCell ref="BI34:BJ34"/>
    <mergeCell ref="BK34:BL34"/>
    <mergeCell ref="BM34:BN34"/>
    <mergeCell ref="BO34:BP34"/>
    <mergeCell ref="BQ34:BR34"/>
    <mergeCell ref="BS34:BT34"/>
    <mergeCell ref="BU34:BV34"/>
    <mergeCell ref="BW34:BX34"/>
    <mergeCell ref="BY34:BZ34"/>
    <mergeCell ref="CA34:CB34"/>
    <mergeCell ref="AT36:CB36"/>
    <mergeCell ref="AW32:AX32"/>
    <mergeCell ref="AY32:AZ32"/>
    <mergeCell ref="BA32:BB32"/>
    <mergeCell ref="BC32:BD32"/>
    <mergeCell ref="BE32:BF32"/>
    <mergeCell ref="BG32:BH32"/>
    <mergeCell ref="BI32:BJ32"/>
    <mergeCell ref="BK32:BL32"/>
    <mergeCell ref="BM32:BN32"/>
    <mergeCell ref="BO32:BP32"/>
    <mergeCell ref="BQ32:BR32"/>
    <mergeCell ref="BS32:BT32"/>
    <mergeCell ref="BU32:BV32"/>
    <mergeCell ref="BW32:BX32"/>
    <mergeCell ref="BY32:BZ32"/>
    <mergeCell ref="CA32:CB32"/>
    <mergeCell ref="AW33:AX33"/>
    <mergeCell ref="AY33:AZ33"/>
    <mergeCell ref="BA33:BB33"/>
    <mergeCell ref="BC33:BD33"/>
    <mergeCell ref="BE33:BF33"/>
    <mergeCell ref="BG33:BH33"/>
    <mergeCell ref="BI33:BJ33"/>
    <mergeCell ref="BK33:BL33"/>
    <mergeCell ref="BM33:BN33"/>
    <mergeCell ref="BO33:BP33"/>
    <mergeCell ref="BQ33:BR33"/>
    <mergeCell ref="BS33:BT33"/>
    <mergeCell ref="BU33:BV33"/>
    <mergeCell ref="BW33:BX33"/>
    <mergeCell ref="BY33:BZ33"/>
    <mergeCell ref="CA33:CB33"/>
    <mergeCell ref="AW30:AX30"/>
    <mergeCell ref="AY30:AZ30"/>
    <mergeCell ref="BA30:BB30"/>
    <mergeCell ref="BC30:BD30"/>
    <mergeCell ref="BE30:BF30"/>
    <mergeCell ref="BG30:BH30"/>
    <mergeCell ref="BI30:BJ30"/>
    <mergeCell ref="BK30:BL30"/>
    <mergeCell ref="BM30:BN30"/>
    <mergeCell ref="BO30:BP30"/>
    <mergeCell ref="BQ30:BR30"/>
    <mergeCell ref="BS30:BT30"/>
    <mergeCell ref="BU30:BV30"/>
    <mergeCell ref="BW30:BX30"/>
    <mergeCell ref="BY30:BZ30"/>
    <mergeCell ref="CA30:CB30"/>
    <mergeCell ref="AW31:AX31"/>
    <mergeCell ref="AY31:AZ31"/>
    <mergeCell ref="BA31:BB31"/>
    <mergeCell ref="BC31:BD31"/>
    <mergeCell ref="BE31:BF31"/>
    <mergeCell ref="BG31:BH31"/>
    <mergeCell ref="BI31:BJ31"/>
    <mergeCell ref="BK31:BL31"/>
    <mergeCell ref="BM31:BN31"/>
    <mergeCell ref="BO31:BP31"/>
    <mergeCell ref="BQ31:BR31"/>
    <mergeCell ref="BS31:BT31"/>
    <mergeCell ref="BU31:BV31"/>
    <mergeCell ref="BW31:BX31"/>
    <mergeCell ref="BY31:BZ31"/>
    <mergeCell ref="CA31:CB31"/>
    <mergeCell ref="AW28:AX28"/>
    <mergeCell ref="AY28:AZ28"/>
    <mergeCell ref="BA28:BB28"/>
    <mergeCell ref="BC28:BD28"/>
    <mergeCell ref="BE28:BF28"/>
    <mergeCell ref="BG28:BH28"/>
    <mergeCell ref="BI28:BJ28"/>
    <mergeCell ref="BK28:BL28"/>
    <mergeCell ref="BM28:BN28"/>
    <mergeCell ref="BO28:BP28"/>
    <mergeCell ref="BQ28:BR28"/>
    <mergeCell ref="BS28:BT28"/>
    <mergeCell ref="BU28:BV28"/>
    <mergeCell ref="BW28:BX28"/>
    <mergeCell ref="BY28:BZ28"/>
    <mergeCell ref="CA28:CB28"/>
    <mergeCell ref="AW29:AX29"/>
    <mergeCell ref="AY29:AZ29"/>
    <mergeCell ref="BA29:BB29"/>
    <mergeCell ref="BC29:BD29"/>
    <mergeCell ref="BE29:BF29"/>
    <mergeCell ref="BG29:BH29"/>
    <mergeCell ref="BI29:BJ29"/>
    <mergeCell ref="BK29:BL29"/>
    <mergeCell ref="BM29:BN29"/>
    <mergeCell ref="BO29:BP29"/>
    <mergeCell ref="BQ29:BR29"/>
    <mergeCell ref="BS29:BT29"/>
    <mergeCell ref="BU29:BV29"/>
    <mergeCell ref="BW29:BX29"/>
    <mergeCell ref="BY29:BZ29"/>
    <mergeCell ref="CA29:CB29"/>
    <mergeCell ref="AW23:AX23"/>
    <mergeCell ref="AW22:AX22"/>
    <mergeCell ref="AW21:AX21"/>
    <mergeCell ref="AW17:AX17"/>
    <mergeCell ref="AW16:AX16"/>
    <mergeCell ref="AT25:CB25"/>
    <mergeCell ref="AW26:AZ26"/>
    <mergeCell ref="BA26:BD26"/>
    <mergeCell ref="BE26:BH26"/>
    <mergeCell ref="BI26:BL26"/>
    <mergeCell ref="BM26:BP26"/>
    <mergeCell ref="BQ26:BT26"/>
    <mergeCell ref="BU26:BX26"/>
    <mergeCell ref="BY26:CB26"/>
    <mergeCell ref="AW27:AX27"/>
    <mergeCell ref="AY27:AZ27"/>
    <mergeCell ref="BA27:BB27"/>
    <mergeCell ref="BC27:BD27"/>
    <mergeCell ref="BE27:BF27"/>
    <mergeCell ref="BG27:BH27"/>
    <mergeCell ref="BI27:BJ27"/>
    <mergeCell ref="BK27:BL27"/>
    <mergeCell ref="BM27:BN27"/>
    <mergeCell ref="BO27:BP27"/>
    <mergeCell ref="BQ27:BR27"/>
    <mergeCell ref="BS27:BT27"/>
    <mergeCell ref="BU27:BV27"/>
    <mergeCell ref="BW27:BX27"/>
    <mergeCell ref="BY27:BZ27"/>
    <mergeCell ref="CA27:CB27"/>
    <mergeCell ref="AW18:AX18"/>
    <mergeCell ref="AW19:AX19"/>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AU5:AV5"/>
    <mergeCell ref="AW5:AZ5"/>
    <mergeCell ref="BA5:BD5"/>
    <mergeCell ref="BE5:BH5"/>
    <mergeCell ref="BI5:BL5"/>
    <mergeCell ref="BM5:BP5"/>
    <mergeCell ref="BQ5:BT5"/>
    <mergeCell ref="BU5:BX5"/>
    <mergeCell ref="BY5:CB5"/>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AC79:AD79"/>
    <mergeCell ref="AE79:AF79"/>
    <mergeCell ref="AG79:AH79"/>
    <mergeCell ref="AI79:AJ79"/>
    <mergeCell ref="AK79:AL79"/>
    <mergeCell ref="AM79:AN79"/>
    <mergeCell ref="AO79:AP79"/>
    <mergeCell ref="K80:L80"/>
    <mergeCell ref="M80:N80"/>
    <mergeCell ref="O80:P80"/>
    <mergeCell ref="Q80:R80"/>
    <mergeCell ref="S80:T80"/>
    <mergeCell ref="U80:V80"/>
    <mergeCell ref="W80:X80"/>
    <mergeCell ref="Y80:Z80"/>
    <mergeCell ref="AA80:AB80"/>
    <mergeCell ref="AC80:AD80"/>
    <mergeCell ref="AE80:AF80"/>
    <mergeCell ref="AG80:AH80"/>
    <mergeCell ref="AI80:AJ80"/>
    <mergeCell ref="AK80:AL80"/>
    <mergeCell ref="AM80:AN80"/>
    <mergeCell ref="AO80:AP80"/>
    <mergeCell ref="K79:L79"/>
    <mergeCell ref="M79:N79"/>
    <mergeCell ref="O79:P79"/>
    <mergeCell ref="Q79:R79"/>
    <mergeCell ref="S79:T79"/>
    <mergeCell ref="U79:V79"/>
    <mergeCell ref="W79:X79"/>
    <mergeCell ref="Y79:Z79"/>
    <mergeCell ref="AA79:AB79"/>
    <mergeCell ref="AC77:AD77"/>
    <mergeCell ref="AE77:AF77"/>
    <mergeCell ref="AG77:AH77"/>
    <mergeCell ref="AI77:AJ77"/>
    <mergeCell ref="AK77:AL77"/>
    <mergeCell ref="AM77:AN77"/>
    <mergeCell ref="AO77:AP77"/>
    <mergeCell ref="K78:L78"/>
    <mergeCell ref="M78:N78"/>
    <mergeCell ref="O78:P78"/>
    <mergeCell ref="Q78:R78"/>
    <mergeCell ref="S78:T78"/>
    <mergeCell ref="U78:V78"/>
    <mergeCell ref="W78:X78"/>
    <mergeCell ref="Y78:Z78"/>
    <mergeCell ref="AA78:AB78"/>
    <mergeCell ref="AC78:AD78"/>
    <mergeCell ref="AE78:AF78"/>
    <mergeCell ref="AG78:AH78"/>
    <mergeCell ref="AI78:AJ78"/>
    <mergeCell ref="AK78:AL78"/>
    <mergeCell ref="AM78:AN78"/>
    <mergeCell ref="AO78:AP78"/>
    <mergeCell ref="K77:L77"/>
    <mergeCell ref="M77:N77"/>
    <mergeCell ref="O77:P77"/>
    <mergeCell ref="Q77:R77"/>
    <mergeCell ref="S77:T77"/>
    <mergeCell ref="U77:V77"/>
    <mergeCell ref="W77:X77"/>
    <mergeCell ref="Y77:Z77"/>
    <mergeCell ref="AA77:AB77"/>
    <mergeCell ref="AC75:AD75"/>
    <mergeCell ref="AE75:AF75"/>
    <mergeCell ref="AG75:AH75"/>
    <mergeCell ref="AI75:AJ75"/>
    <mergeCell ref="AK75:AL75"/>
    <mergeCell ref="AM75:AN75"/>
    <mergeCell ref="AO75:AP75"/>
    <mergeCell ref="K76:L76"/>
    <mergeCell ref="M76:N76"/>
    <mergeCell ref="O76:P76"/>
    <mergeCell ref="Q76:R76"/>
    <mergeCell ref="S76:T76"/>
    <mergeCell ref="U76:V76"/>
    <mergeCell ref="W76:X76"/>
    <mergeCell ref="Y76:Z76"/>
    <mergeCell ref="AA76:AB76"/>
    <mergeCell ref="AC76:AD76"/>
    <mergeCell ref="AE76:AF76"/>
    <mergeCell ref="AG76:AH76"/>
    <mergeCell ref="AI76:AJ76"/>
    <mergeCell ref="AK76:AL76"/>
    <mergeCell ref="AM76:AN76"/>
    <mergeCell ref="AO76:AP76"/>
    <mergeCell ref="K75:L75"/>
    <mergeCell ref="M75:N75"/>
    <mergeCell ref="O75:P75"/>
    <mergeCell ref="Q75:R75"/>
    <mergeCell ref="S75:T75"/>
    <mergeCell ref="U75:V75"/>
    <mergeCell ref="W75:X75"/>
    <mergeCell ref="Y75:Z75"/>
    <mergeCell ref="AA75:AB75"/>
    <mergeCell ref="AC73:AD73"/>
    <mergeCell ref="AE73:AF73"/>
    <mergeCell ref="AG73:AH73"/>
    <mergeCell ref="AI73:AJ73"/>
    <mergeCell ref="AK73:AL73"/>
    <mergeCell ref="AM73:AN73"/>
    <mergeCell ref="AO73:AP73"/>
    <mergeCell ref="K74:L74"/>
    <mergeCell ref="M74:N74"/>
    <mergeCell ref="O74:P74"/>
    <mergeCell ref="Q74:R74"/>
    <mergeCell ref="S74:T74"/>
    <mergeCell ref="U74:V74"/>
    <mergeCell ref="W74:X74"/>
    <mergeCell ref="Y74:Z74"/>
    <mergeCell ref="AA74:AB74"/>
    <mergeCell ref="AC74:AD74"/>
    <mergeCell ref="AE74:AF74"/>
    <mergeCell ref="AG74:AH74"/>
    <mergeCell ref="AI74:AJ74"/>
    <mergeCell ref="AK74:AL74"/>
    <mergeCell ref="AM74:AN74"/>
    <mergeCell ref="AO74:AP74"/>
    <mergeCell ref="K73:L73"/>
    <mergeCell ref="M73:N73"/>
    <mergeCell ref="O73:P73"/>
    <mergeCell ref="Q73:R73"/>
    <mergeCell ref="S73:T73"/>
    <mergeCell ref="U73:V73"/>
    <mergeCell ref="W73:X73"/>
    <mergeCell ref="Y73:Z73"/>
    <mergeCell ref="AA73:AB73"/>
    <mergeCell ref="H71:AP71"/>
    <mergeCell ref="K72:N72"/>
    <mergeCell ref="O72:R72"/>
    <mergeCell ref="S72:V72"/>
    <mergeCell ref="W72:Z72"/>
    <mergeCell ref="AA72:AD72"/>
    <mergeCell ref="AE72:AH72"/>
    <mergeCell ref="AI72:AL72"/>
    <mergeCell ref="AM72:AP72"/>
    <mergeCell ref="AC69:AD69"/>
    <mergeCell ref="AE69:AF69"/>
    <mergeCell ref="AG69:AH69"/>
    <mergeCell ref="AI69:AJ69"/>
    <mergeCell ref="AK69:AL69"/>
    <mergeCell ref="AM69:AN69"/>
    <mergeCell ref="AO69:AP69"/>
    <mergeCell ref="AC67:AD67"/>
    <mergeCell ref="AE67:AF67"/>
    <mergeCell ref="AG67:AH67"/>
    <mergeCell ref="AI67:AJ67"/>
    <mergeCell ref="AK67:AL67"/>
    <mergeCell ref="K69:L69"/>
    <mergeCell ref="M69:N69"/>
    <mergeCell ref="O69:P69"/>
    <mergeCell ref="Q69:R69"/>
    <mergeCell ref="S69:T69"/>
    <mergeCell ref="U69:V69"/>
    <mergeCell ref="W69:X69"/>
    <mergeCell ref="Y69:Z69"/>
    <mergeCell ref="AA69:AB69"/>
    <mergeCell ref="AO67:AP67"/>
    <mergeCell ref="K68:L68"/>
    <mergeCell ref="M68:N68"/>
    <mergeCell ref="O68:P68"/>
    <mergeCell ref="Q68:R68"/>
    <mergeCell ref="S68:T68"/>
    <mergeCell ref="U68:V68"/>
    <mergeCell ref="W68:X68"/>
    <mergeCell ref="Y68:Z68"/>
    <mergeCell ref="AA68:AB68"/>
    <mergeCell ref="AC68:AD68"/>
    <mergeCell ref="AE68:AF68"/>
    <mergeCell ref="AG68:AH68"/>
    <mergeCell ref="AI68:AJ68"/>
    <mergeCell ref="AK68:AL68"/>
    <mergeCell ref="AM68:AN68"/>
    <mergeCell ref="AO68:AP68"/>
    <mergeCell ref="K67:L67"/>
    <mergeCell ref="M67:N67"/>
    <mergeCell ref="O67:P67"/>
    <mergeCell ref="Q67:R67"/>
    <mergeCell ref="S67:T67"/>
    <mergeCell ref="U67:V67"/>
    <mergeCell ref="W67:X67"/>
    <mergeCell ref="Y67:Z67"/>
    <mergeCell ref="AA67:AB67"/>
    <mergeCell ref="AC65:AD65"/>
    <mergeCell ref="AE65:AF65"/>
    <mergeCell ref="AG65:AH65"/>
    <mergeCell ref="AI65:AJ65"/>
    <mergeCell ref="AK65:AL65"/>
    <mergeCell ref="AM65:AN65"/>
    <mergeCell ref="Y65:Z65"/>
    <mergeCell ref="AA65:AB65"/>
    <mergeCell ref="AM67:AN67"/>
    <mergeCell ref="AO65:AP65"/>
    <mergeCell ref="K66:L66"/>
    <mergeCell ref="M66:N66"/>
    <mergeCell ref="O66:P66"/>
    <mergeCell ref="Q66:R66"/>
    <mergeCell ref="S66:T66"/>
    <mergeCell ref="U66:V66"/>
    <mergeCell ref="W66:X66"/>
    <mergeCell ref="Y66:Z66"/>
    <mergeCell ref="AA66:AB66"/>
    <mergeCell ref="AC66:AD66"/>
    <mergeCell ref="AE66:AF66"/>
    <mergeCell ref="AG66:AH66"/>
    <mergeCell ref="AI66:AJ66"/>
    <mergeCell ref="AK66:AL66"/>
    <mergeCell ref="AM66:AN66"/>
    <mergeCell ref="AO66:AP66"/>
    <mergeCell ref="K65:L65"/>
    <mergeCell ref="M65:N65"/>
    <mergeCell ref="O65:P65"/>
    <mergeCell ref="Q65:R65"/>
    <mergeCell ref="S65:T65"/>
    <mergeCell ref="U65:V65"/>
    <mergeCell ref="W65:X65"/>
    <mergeCell ref="AC63:AD63"/>
    <mergeCell ref="AE63:AF63"/>
    <mergeCell ref="AG63:AH63"/>
    <mergeCell ref="AI63:AJ63"/>
    <mergeCell ref="AK63:AL63"/>
    <mergeCell ref="AM63:AN63"/>
    <mergeCell ref="AO63:AP63"/>
    <mergeCell ref="K64:L64"/>
    <mergeCell ref="M64:N64"/>
    <mergeCell ref="O64:P64"/>
    <mergeCell ref="Q64:R64"/>
    <mergeCell ref="S64:T64"/>
    <mergeCell ref="U64:V64"/>
    <mergeCell ref="W64:X64"/>
    <mergeCell ref="Y64:Z64"/>
    <mergeCell ref="AA64:AB64"/>
    <mergeCell ref="AC64:AD64"/>
    <mergeCell ref="AE64:AF64"/>
    <mergeCell ref="AG64:AH64"/>
    <mergeCell ref="AI64:AJ64"/>
    <mergeCell ref="AK64:AL64"/>
    <mergeCell ref="AM64:AN64"/>
    <mergeCell ref="AO64:AP64"/>
    <mergeCell ref="K63:L63"/>
    <mergeCell ref="M63:N63"/>
    <mergeCell ref="O63:P63"/>
    <mergeCell ref="Q63:R63"/>
    <mergeCell ref="S63:T63"/>
    <mergeCell ref="U63:V63"/>
    <mergeCell ref="W63:X63"/>
    <mergeCell ref="Y63:Z63"/>
    <mergeCell ref="AA63:AB63"/>
    <mergeCell ref="K62:L62"/>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AM62:AN62"/>
    <mergeCell ref="AO62:AP62"/>
    <mergeCell ref="K61:N61"/>
    <mergeCell ref="O61:R61"/>
    <mergeCell ref="S61:V61"/>
    <mergeCell ref="W61:Z61"/>
    <mergeCell ref="AA61:AD61"/>
    <mergeCell ref="AE61:AH61"/>
    <mergeCell ref="AI61:AL61"/>
    <mergeCell ref="AM61:AP61"/>
    <mergeCell ref="H59:AP59"/>
    <mergeCell ref="K60:N60"/>
    <mergeCell ref="O60:R60"/>
    <mergeCell ref="S60:V60"/>
    <mergeCell ref="W60:Z60"/>
    <mergeCell ref="AA60:AD60"/>
    <mergeCell ref="AE60:AH60"/>
    <mergeCell ref="AI60:AL60"/>
    <mergeCell ref="AM60:AP60"/>
    <mergeCell ref="H60:J60"/>
    <mergeCell ref="AE56:AF56"/>
    <mergeCell ref="AG56:AH56"/>
    <mergeCell ref="AI56:AJ56"/>
    <mergeCell ref="AK56:AL56"/>
    <mergeCell ref="AM56:AN56"/>
    <mergeCell ref="AO56:AP56"/>
    <mergeCell ref="K57:L57"/>
    <mergeCell ref="M57:N57"/>
    <mergeCell ref="O57:P57"/>
    <mergeCell ref="Q57:R57"/>
    <mergeCell ref="S57:T57"/>
    <mergeCell ref="U57:V57"/>
    <mergeCell ref="W57:X57"/>
    <mergeCell ref="Y57:Z57"/>
    <mergeCell ref="AA57:AB57"/>
    <mergeCell ref="AC57:AD57"/>
    <mergeCell ref="AE57:AF57"/>
    <mergeCell ref="AG57:AH57"/>
    <mergeCell ref="AI57:AJ57"/>
    <mergeCell ref="AK57:AL57"/>
    <mergeCell ref="AM57:AN57"/>
    <mergeCell ref="AO57:AP57"/>
    <mergeCell ref="K56:L56"/>
    <mergeCell ref="M56:N56"/>
    <mergeCell ref="O56:P56"/>
    <mergeCell ref="Q56:R56"/>
    <mergeCell ref="S56:T56"/>
    <mergeCell ref="U56:V56"/>
    <mergeCell ref="W56:X56"/>
    <mergeCell ref="Y56:Z56"/>
    <mergeCell ref="AA56:AB56"/>
    <mergeCell ref="AC54:AD54"/>
    <mergeCell ref="O54:P54"/>
    <mergeCell ref="Q54:R54"/>
    <mergeCell ref="S54:T54"/>
    <mergeCell ref="U54:V54"/>
    <mergeCell ref="W54:X54"/>
    <mergeCell ref="Y54:Z54"/>
    <mergeCell ref="AA54:AB54"/>
    <mergeCell ref="AC56:AD56"/>
    <mergeCell ref="AE54:AF54"/>
    <mergeCell ref="AG54:AH54"/>
    <mergeCell ref="AI54:AJ54"/>
    <mergeCell ref="AK54:AL54"/>
    <mergeCell ref="AM54:AN54"/>
    <mergeCell ref="AO54:AP54"/>
    <mergeCell ref="K55:L55"/>
    <mergeCell ref="M55:N55"/>
    <mergeCell ref="O55:P55"/>
    <mergeCell ref="Q55:R55"/>
    <mergeCell ref="S55:T55"/>
    <mergeCell ref="U55:V55"/>
    <mergeCell ref="W55:X55"/>
    <mergeCell ref="Y55:Z55"/>
    <mergeCell ref="AA55:AB55"/>
    <mergeCell ref="AC55:AD55"/>
    <mergeCell ref="AE55:AF55"/>
    <mergeCell ref="AG55:AH55"/>
    <mergeCell ref="AI55:AJ55"/>
    <mergeCell ref="AK55:AL55"/>
    <mergeCell ref="AM55:AN55"/>
    <mergeCell ref="AO55:AP55"/>
    <mergeCell ref="K54:L54"/>
    <mergeCell ref="M54:N54"/>
    <mergeCell ref="AE52:AF52"/>
    <mergeCell ref="AG52:AH52"/>
    <mergeCell ref="AI52:AJ52"/>
    <mergeCell ref="AK52:AL52"/>
    <mergeCell ref="AM52:AN52"/>
    <mergeCell ref="AO52:AP52"/>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O53:AP53"/>
    <mergeCell ref="K52:L52"/>
    <mergeCell ref="M52:N52"/>
    <mergeCell ref="O52:P52"/>
    <mergeCell ref="Q52:R52"/>
    <mergeCell ref="S52:T52"/>
    <mergeCell ref="U52:V52"/>
    <mergeCell ref="W52:X52"/>
    <mergeCell ref="Y52:Z52"/>
    <mergeCell ref="AA52:AB52"/>
    <mergeCell ref="AC52:AD52"/>
    <mergeCell ref="AE50:AF50"/>
    <mergeCell ref="AG50:AH50"/>
    <mergeCell ref="AI50:AJ50"/>
    <mergeCell ref="AK50:AL50"/>
    <mergeCell ref="AM50:AN50"/>
    <mergeCell ref="AO50:AP50"/>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AO51:AP51"/>
    <mergeCell ref="K50:L50"/>
    <mergeCell ref="K5:N5"/>
    <mergeCell ref="O5:R5"/>
    <mergeCell ref="S5:V5"/>
    <mergeCell ref="W5:Z5"/>
    <mergeCell ref="AA5:AD5"/>
    <mergeCell ref="AE5:AH5"/>
    <mergeCell ref="AI5:AL5"/>
    <mergeCell ref="AM5:AP5"/>
    <mergeCell ref="I5:J5"/>
    <mergeCell ref="AM6:AN6"/>
    <mergeCell ref="AO6:AP6"/>
    <mergeCell ref="K49:N49"/>
    <mergeCell ref="O49:R49"/>
    <mergeCell ref="S49:V49"/>
    <mergeCell ref="W49:Z49"/>
    <mergeCell ref="AA49:AD49"/>
    <mergeCell ref="AE49:AH49"/>
    <mergeCell ref="AI49:AL49"/>
    <mergeCell ref="AM49:AP49"/>
    <mergeCell ref="H48:AP48"/>
    <mergeCell ref="I6:J6"/>
    <mergeCell ref="K6:L6"/>
    <mergeCell ref="M6:N6"/>
    <mergeCell ref="O6:P6"/>
    <mergeCell ref="Q6:R6"/>
    <mergeCell ref="S6:T6"/>
    <mergeCell ref="U6:V6"/>
    <mergeCell ref="W6:X6"/>
    <mergeCell ref="Y6:Z6"/>
    <mergeCell ref="AO8:AP8"/>
    <mergeCell ref="AA7:AB7"/>
    <mergeCell ref="AK7:AL7"/>
    <mergeCell ref="AM7:AN7"/>
    <mergeCell ref="AO7:AP7"/>
    <mergeCell ref="AA8:AB8"/>
    <mergeCell ref="AC8:AD8"/>
    <mergeCell ref="AE8:AF8"/>
    <mergeCell ref="AG8:AH8"/>
    <mergeCell ref="AI8:AJ8"/>
    <mergeCell ref="AK8:AL8"/>
    <mergeCell ref="AM8:AN8"/>
    <mergeCell ref="AA6:AB6"/>
    <mergeCell ref="AC6:AD6"/>
    <mergeCell ref="AE6:AF6"/>
    <mergeCell ref="AG6:AH6"/>
    <mergeCell ref="AI6:AJ6"/>
    <mergeCell ref="AK6:AL6"/>
    <mergeCell ref="M50:N50"/>
    <mergeCell ref="AC50:AD50"/>
    <mergeCell ref="O50:P50"/>
    <mergeCell ref="Q50:R50"/>
    <mergeCell ref="S50:T50"/>
    <mergeCell ref="U50:V50"/>
    <mergeCell ref="W50:X50"/>
    <mergeCell ref="Y50:Z50"/>
    <mergeCell ref="AA50:AB50"/>
    <mergeCell ref="AG9:AH9"/>
    <mergeCell ref="AI9:AJ9"/>
    <mergeCell ref="AC7:AD7"/>
    <mergeCell ref="AE7:AF7"/>
    <mergeCell ref="AG7:AH7"/>
    <mergeCell ref="AI7:AJ7"/>
    <mergeCell ref="AK12:AL12"/>
    <mergeCell ref="AM12:AN12"/>
    <mergeCell ref="I8:J8"/>
    <mergeCell ref="K8:L8"/>
    <mergeCell ref="M8:N8"/>
    <mergeCell ref="O8:P8"/>
    <mergeCell ref="Q8:R8"/>
    <mergeCell ref="S8:T8"/>
    <mergeCell ref="U8:V8"/>
    <mergeCell ref="W8:X8"/>
    <mergeCell ref="Y8:Z8"/>
    <mergeCell ref="I7:J7"/>
    <mergeCell ref="K7:L7"/>
    <mergeCell ref="M7:N7"/>
    <mergeCell ref="O7:P7"/>
    <mergeCell ref="Q7:R7"/>
    <mergeCell ref="S7:T7"/>
    <mergeCell ref="U7:V7"/>
    <mergeCell ref="W7:X7"/>
    <mergeCell ref="Y7:Z7"/>
    <mergeCell ref="AO9:AP9"/>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O10:AP10"/>
    <mergeCell ref="I9:J9"/>
    <mergeCell ref="K9:L9"/>
    <mergeCell ref="M9:N9"/>
    <mergeCell ref="O9:P9"/>
    <mergeCell ref="Q9:R9"/>
    <mergeCell ref="S9:T9"/>
    <mergeCell ref="U9:V9"/>
    <mergeCell ref="W9:X9"/>
    <mergeCell ref="Y9:Z9"/>
    <mergeCell ref="AA9:AB9"/>
    <mergeCell ref="AC9:AD9"/>
    <mergeCell ref="AE9:AF9"/>
    <mergeCell ref="I11:J11"/>
    <mergeCell ref="K11:L11"/>
    <mergeCell ref="M11:N11"/>
    <mergeCell ref="O11:P11"/>
    <mergeCell ref="Q11:R11"/>
    <mergeCell ref="S11:T11"/>
    <mergeCell ref="U11:V11"/>
    <mergeCell ref="W11:X11"/>
    <mergeCell ref="S12:T12"/>
    <mergeCell ref="U12:V12"/>
    <mergeCell ref="W12:X12"/>
    <mergeCell ref="Y12:Z12"/>
    <mergeCell ref="AA12:AB12"/>
    <mergeCell ref="AC12:AD12"/>
    <mergeCell ref="AE12:AF12"/>
    <mergeCell ref="AG12:AH12"/>
    <mergeCell ref="AI12:AJ12"/>
    <mergeCell ref="AC11:AD11"/>
    <mergeCell ref="AE11:AF11"/>
    <mergeCell ref="AG11:AH11"/>
    <mergeCell ref="AI11:AJ11"/>
    <mergeCell ref="AK11:AL11"/>
    <mergeCell ref="AM11:AN11"/>
    <mergeCell ref="AO11:AP11"/>
    <mergeCell ref="Q42:R42"/>
    <mergeCell ref="S42:T42"/>
    <mergeCell ref="U42:V42"/>
    <mergeCell ref="W42:X42"/>
    <mergeCell ref="Y42:Z42"/>
    <mergeCell ref="AA42:AB42"/>
    <mergeCell ref="B1:AT3"/>
    <mergeCell ref="H14:AP14"/>
    <mergeCell ref="I12:J12"/>
    <mergeCell ref="K12:L12"/>
    <mergeCell ref="M12:N12"/>
    <mergeCell ref="O12:P12"/>
    <mergeCell ref="Q12:R12"/>
    <mergeCell ref="K17:L17"/>
    <mergeCell ref="M17:N17"/>
    <mergeCell ref="O17:P17"/>
    <mergeCell ref="Q17:R17"/>
    <mergeCell ref="S17:T17"/>
    <mergeCell ref="AK9:AL9"/>
    <mergeCell ref="AM9:AN9"/>
    <mergeCell ref="AT14:CB14"/>
    <mergeCell ref="AW20:AX20"/>
    <mergeCell ref="BC20:BD20"/>
    <mergeCell ref="BA15:BD15"/>
    <mergeCell ref="BE15:BH15"/>
    <mergeCell ref="BI15:BL15"/>
    <mergeCell ref="BM15:BP15"/>
    <mergeCell ref="BG17:BH17"/>
    <mergeCell ref="BI17:BJ17"/>
    <mergeCell ref="BK17:BL17"/>
    <mergeCell ref="BE16:BF16"/>
    <mergeCell ref="BE17:BF17"/>
    <mergeCell ref="Y11:Z11"/>
    <mergeCell ref="BG16:BH16"/>
    <mergeCell ref="BI16:BJ16"/>
    <mergeCell ref="BK16:BL16"/>
    <mergeCell ref="BM16:BN16"/>
    <mergeCell ref="BO16:BP16"/>
    <mergeCell ref="AW15:AZ15"/>
    <mergeCell ref="AY18:AZ18"/>
    <mergeCell ref="AY19:AZ19"/>
    <mergeCell ref="AY20:AZ20"/>
    <mergeCell ref="BG18:BH18"/>
    <mergeCell ref="BG19:BH19"/>
    <mergeCell ref="BM17:BN17"/>
    <mergeCell ref="BO17:BP17"/>
    <mergeCell ref="BK18:BL18"/>
    <mergeCell ref="BK19:BL19"/>
    <mergeCell ref="BK20:BL20"/>
    <mergeCell ref="AI18:AJ18"/>
    <mergeCell ref="AK18:AL18"/>
    <mergeCell ref="AM18:AN18"/>
    <mergeCell ref="AO18:AP18"/>
    <mergeCell ref="AI16:AJ16"/>
    <mergeCell ref="AK16:AL16"/>
    <mergeCell ref="AM16:AN16"/>
    <mergeCell ref="AO16:AP16"/>
    <mergeCell ref="AI17:AJ17"/>
    <mergeCell ref="AK17:AL17"/>
    <mergeCell ref="AM17:AN17"/>
    <mergeCell ref="AO17:AP17"/>
    <mergeCell ref="BQ16:BR16"/>
    <mergeCell ref="BS16:BT16"/>
    <mergeCell ref="AO12:AP12"/>
    <mergeCell ref="AA11:AB11"/>
    <mergeCell ref="AY21:AZ21"/>
    <mergeCell ref="AY22:AZ22"/>
    <mergeCell ref="BC21:BD21"/>
    <mergeCell ref="BC22:BD22"/>
    <mergeCell ref="BC23:BD23"/>
    <mergeCell ref="AY23:AZ23"/>
    <mergeCell ref="BA16:BB16"/>
    <mergeCell ref="BA17:BB17"/>
    <mergeCell ref="BA18:BB18"/>
    <mergeCell ref="BA19:BB19"/>
    <mergeCell ref="BA20:BB20"/>
    <mergeCell ref="BA21:BB21"/>
    <mergeCell ref="BA22:BB22"/>
    <mergeCell ref="BA23:BB23"/>
    <mergeCell ref="BC18:BD18"/>
    <mergeCell ref="BC19:BD19"/>
    <mergeCell ref="BC16:BD16"/>
    <mergeCell ref="BC17:BD17"/>
    <mergeCell ref="AY16:AZ16"/>
    <mergeCell ref="AY17:AZ17"/>
    <mergeCell ref="BE18:BF18"/>
    <mergeCell ref="BE19:BF19"/>
    <mergeCell ref="BE20:BF20"/>
    <mergeCell ref="BE21:BF21"/>
    <mergeCell ref="BE22:BF22"/>
    <mergeCell ref="BE23:BF23"/>
    <mergeCell ref="BM23:BN23"/>
    <mergeCell ref="BO23:BP23"/>
    <mergeCell ref="BU16:BV16"/>
    <mergeCell ref="BW16:BX16"/>
    <mergeCell ref="BY16:BZ16"/>
    <mergeCell ref="BO18:BP18"/>
    <mergeCell ref="BO19:BP19"/>
    <mergeCell ref="CA16:CB16"/>
    <mergeCell ref="BQ15:BT15"/>
    <mergeCell ref="BU15:BX15"/>
    <mergeCell ref="BY15:CB15"/>
    <mergeCell ref="BG20:BH20"/>
    <mergeCell ref="BG21:BH21"/>
    <mergeCell ref="BG22:BH22"/>
    <mergeCell ref="BG23:BH23"/>
    <mergeCell ref="BQ23:BR23"/>
    <mergeCell ref="BS17:BT17"/>
    <mergeCell ref="BS18:BT18"/>
    <mergeCell ref="BS19:BT19"/>
    <mergeCell ref="BS20:BT20"/>
    <mergeCell ref="BS21:BT21"/>
    <mergeCell ref="BS22:BT22"/>
    <mergeCell ref="BS23:BT23"/>
    <mergeCell ref="BQ17:BR17"/>
    <mergeCell ref="BQ18:BR18"/>
    <mergeCell ref="BQ19:BR19"/>
    <mergeCell ref="BQ20:BR20"/>
    <mergeCell ref="BQ21:BR21"/>
    <mergeCell ref="BQ22:BR22"/>
    <mergeCell ref="BU23:BV23"/>
    <mergeCell ref="BW17:BX17"/>
    <mergeCell ref="BW18:BX18"/>
    <mergeCell ref="BW19:BX19"/>
    <mergeCell ref="BW20:BX20"/>
    <mergeCell ref="BK21:BL21"/>
    <mergeCell ref="BK22:BL22"/>
    <mergeCell ref="BK23:BL23"/>
    <mergeCell ref="BI18:BJ18"/>
    <mergeCell ref="BI19:BJ19"/>
    <mergeCell ref="BI20:BJ20"/>
    <mergeCell ref="BI21:BJ21"/>
    <mergeCell ref="BI22:BJ22"/>
    <mergeCell ref="BI23:BJ23"/>
    <mergeCell ref="BM18:BN18"/>
    <mergeCell ref="BM19:BN19"/>
    <mergeCell ref="BM20:BN20"/>
    <mergeCell ref="BM21:BN21"/>
    <mergeCell ref="BM22:BN22"/>
    <mergeCell ref="BO20:BP20"/>
    <mergeCell ref="BO21:BP21"/>
    <mergeCell ref="BO22:BP22"/>
    <mergeCell ref="BW21:BX21"/>
    <mergeCell ref="BW22:BX22"/>
    <mergeCell ref="BW23:BX23"/>
    <mergeCell ref="BU17:BV17"/>
    <mergeCell ref="BU18:BV18"/>
    <mergeCell ref="BU19:BV19"/>
    <mergeCell ref="BU20:BV20"/>
    <mergeCell ref="BU21:BV21"/>
    <mergeCell ref="BU22:BV22"/>
    <mergeCell ref="BY23:BZ23"/>
    <mergeCell ref="CA17:CB17"/>
    <mergeCell ref="CA18:CB18"/>
    <mergeCell ref="CA19:CB19"/>
    <mergeCell ref="CA20:CB20"/>
    <mergeCell ref="CA21:CB21"/>
    <mergeCell ref="CA22:CB22"/>
    <mergeCell ref="CA23:CB23"/>
    <mergeCell ref="BY17:BZ17"/>
    <mergeCell ref="BY18:BZ18"/>
    <mergeCell ref="BY19:BZ19"/>
    <mergeCell ref="BY20:BZ20"/>
    <mergeCell ref="BY21:BZ21"/>
    <mergeCell ref="BY22:BZ22"/>
    <mergeCell ref="U17:V17"/>
    <mergeCell ref="W16:X16"/>
    <mergeCell ref="Y16:Z16"/>
    <mergeCell ref="AA16:AB16"/>
    <mergeCell ref="AC16:AD16"/>
    <mergeCell ref="AE16:AF16"/>
    <mergeCell ref="AG16:AH16"/>
    <mergeCell ref="K16:L16"/>
    <mergeCell ref="M16:N16"/>
    <mergeCell ref="O16:P16"/>
    <mergeCell ref="Q16:R16"/>
    <mergeCell ref="S16:T16"/>
    <mergeCell ref="U16:V16"/>
    <mergeCell ref="U18:V18"/>
    <mergeCell ref="W17:X17"/>
    <mergeCell ref="Y17:Z17"/>
    <mergeCell ref="AA17:AB17"/>
    <mergeCell ref="AC17:AD17"/>
    <mergeCell ref="AE17:AF17"/>
    <mergeCell ref="AG17:AH17"/>
    <mergeCell ref="K18:L18"/>
    <mergeCell ref="M18:N18"/>
    <mergeCell ref="O18:P18"/>
    <mergeCell ref="Q18:R18"/>
    <mergeCell ref="S18:T18"/>
    <mergeCell ref="AC18:AD18"/>
    <mergeCell ref="AE18:AF18"/>
    <mergeCell ref="AG18:AH18"/>
    <mergeCell ref="W18:X18"/>
    <mergeCell ref="Y18:Z18"/>
    <mergeCell ref="AA18:AB18"/>
    <mergeCell ref="Y20:Z20"/>
    <mergeCell ref="AA20:AB20"/>
    <mergeCell ref="AI19:AJ19"/>
    <mergeCell ref="AK19:AL19"/>
    <mergeCell ref="AM19:AN19"/>
    <mergeCell ref="AO19:AP19"/>
    <mergeCell ref="K20:L20"/>
    <mergeCell ref="M20:N20"/>
    <mergeCell ref="O20:P20"/>
    <mergeCell ref="Q20:R20"/>
    <mergeCell ref="S20:T20"/>
    <mergeCell ref="U20:V20"/>
    <mergeCell ref="W19:X19"/>
    <mergeCell ref="Y19:Z19"/>
    <mergeCell ref="AA19:AB19"/>
    <mergeCell ref="AC19:AD19"/>
    <mergeCell ref="AE19:AF19"/>
    <mergeCell ref="AG19:AH19"/>
    <mergeCell ref="AI20:AJ20"/>
    <mergeCell ref="AK20:AL20"/>
    <mergeCell ref="AM20:AN20"/>
    <mergeCell ref="AO20:AP20"/>
    <mergeCell ref="AC20:AD20"/>
    <mergeCell ref="AI22:AJ22"/>
    <mergeCell ref="AK22:AL22"/>
    <mergeCell ref="AM22:AN22"/>
    <mergeCell ref="AO22:AP22"/>
    <mergeCell ref="K23:L23"/>
    <mergeCell ref="AE20:AF20"/>
    <mergeCell ref="AG20:AH20"/>
    <mergeCell ref="K19:L19"/>
    <mergeCell ref="AG22:AH22"/>
    <mergeCell ref="AI21:AJ21"/>
    <mergeCell ref="AK21:AL21"/>
    <mergeCell ref="AM21:AN21"/>
    <mergeCell ref="AO21:AP21"/>
    <mergeCell ref="K22:L22"/>
    <mergeCell ref="W21:X21"/>
    <mergeCell ref="Y21:Z21"/>
    <mergeCell ref="AA21:AB21"/>
    <mergeCell ref="AC21:AD21"/>
    <mergeCell ref="AE21:AF21"/>
    <mergeCell ref="AG21:AH21"/>
    <mergeCell ref="K21:L21"/>
    <mergeCell ref="M21:N21"/>
    <mergeCell ref="O21:P21"/>
    <mergeCell ref="Q21:R21"/>
    <mergeCell ref="S21:T21"/>
    <mergeCell ref="U21:V21"/>
    <mergeCell ref="M19:N19"/>
    <mergeCell ref="O19:P19"/>
    <mergeCell ref="Q19:R19"/>
    <mergeCell ref="S19:T19"/>
    <mergeCell ref="U19:V19"/>
    <mergeCell ref="W20:X20"/>
    <mergeCell ref="O23:P23"/>
    <mergeCell ref="Q23:R23"/>
    <mergeCell ref="S23:T23"/>
    <mergeCell ref="U23:V23"/>
    <mergeCell ref="W22:X22"/>
    <mergeCell ref="Y22:Z22"/>
    <mergeCell ref="AA22:AB22"/>
    <mergeCell ref="AC22:AD22"/>
    <mergeCell ref="AE22:AF22"/>
    <mergeCell ref="M22:N22"/>
    <mergeCell ref="O22:P22"/>
    <mergeCell ref="Q22:R22"/>
    <mergeCell ref="S22:T22"/>
    <mergeCell ref="U22:V22"/>
    <mergeCell ref="AI15:AL15"/>
    <mergeCell ref="AM15:AP15"/>
    <mergeCell ref="AI23:AJ23"/>
    <mergeCell ref="AK23:AL23"/>
    <mergeCell ref="AM23:AN23"/>
    <mergeCell ref="AO23:AP23"/>
    <mergeCell ref="K15:N15"/>
    <mergeCell ref="O15:R15"/>
    <mergeCell ref="S15:V15"/>
    <mergeCell ref="W15:Z15"/>
    <mergeCell ref="AA15:AD15"/>
    <mergeCell ref="AE15:AH15"/>
    <mergeCell ref="W23:X23"/>
    <mergeCell ref="Y23:Z23"/>
    <mergeCell ref="AA23:AB23"/>
    <mergeCell ref="AC23:AD23"/>
    <mergeCell ref="AE23:AF23"/>
    <mergeCell ref="AG23:AH23"/>
    <mergeCell ref="M28:N28"/>
    <mergeCell ref="O28:P28"/>
    <mergeCell ref="Q28:R28"/>
    <mergeCell ref="S28:T28"/>
    <mergeCell ref="U28:V28"/>
    <mergeCell ref="W28:X28"/>
    <mergeCell ref="Y28:Z28"/>
    <mergeCell ref="AA28:AB28"/>
    <mergeCell ref="M23:N23"/>
    <mergeCell ref="K26:N26"/>
    <mergeCell ref="O26:R26"/>
    <mergeCell ref="S26:V26"/>
    <mergeCell ref="W26:Z26"/>
    <mergeCell ref="AA26:AD26"/>
    <mergeCell ref="AE26:AH26"/>
    <mergeCell ref="AI26:AL26"/>
    <mergeCell ref="AC27:AD27"/>
    <mergeCell ref="S27:T27"/>
    <mergeCell ref="U27:V27"/>
    <mergeCell ref="W27:X27"/>
    <mergeCell ref="Y27:Z27"/>
    <mergeCell ref="AA27:AB27"/>
    <mergeCell ref="H25:AP25"/>
    <mergeCell ref="AM26:AP26"/>
    <mergeCell ref="K27:L27"/>
    <mergeCell ref="M27:N27"/>
    <mergeCell ref="AE27:AF27"/>
    <mergeCell ref="AG27:AH27"/>
    <mergeCell ref="AI27:AJ27"/>
    <mergeCell ref="AK27:AL27"/>
    <mergeCell ref="AM27:AN27"/>
    <mergeCell ref="AO27:AP27"/>
    <mergeCell ref="AC28:AD28"/>
    <mergeCell ref="AE29:AF29"/>
    <mergeCell ref="AG29:AH29"/>
    <mergeCell ref="AE28:AF28"/>
    <mergeCell ref="AG28:AH28"/>
    <mergeCell ref="AI28:AJ28"/>
    <mergeCell ref="AK28:AL28"/>
    <mergeCell ref="AM28:AN28"/>
    <mergeCell ref="AO28:AP28"/>
    <mergeCell ref="O27:P27"/>
    <mergeCell ref="Q27:R27"/>
    <mergeCell ref="AI29:AJ29"/>
    <mergeCell ref="AK29:AL29"/>
    <mergeCell ref="AM29:AN29"/>
    <mergeCell ref="AO29:AP29"/>
    <mergeCell ref="K30:L30"/>
    <mergeCell ref="M30:N30"/>
    <mergeCell ref="O30:P30"/>
    <mergeCell ref="Q30:R30"/>
    <mergeCell ref="S30:T30"/>
    <mergeCell ref="U30:V30"/>
    <mergeCell ref="W30:X30"/>
    <mergeCell ref="Y30:Z30"/>
    <mergeCell ref="AA30:AB30"/>
    <mergeCell ref="AC30:AD30"/>
    <mergeCell ref="AE30:AF30"/>
    <mergeCell ref="AG30:AH30"/>
    <mergeCell ref="AI30:AJ30"/>
    <mergeCell ref="AK30:AL30"/>
    <mergeCell ref="AM30:AN30"/>
    <mergeCell ref="AO30:AP30"/>
    <mergeCell ref="K28:L28"/>
    <mergeCell ref="K29:L29"/>
    <mergeCell ref="M29:N29"/>
    <mergeCell ref="O29:P29"/>
    <mergeCell ref="Q29:R29"/>
    <mergeCell ref="S29:T29"/>
    <mergeCell ref="U29:V29"/>
    <mergeCell ref="W29:X29"/>
    <mergeCell ref="Y29:Z29"/>
    <mergeCell ref="AA29:AB29"/>
    <mergeCell ref="S32:T32"/>
    <mergeCell ref="U32:V32"/>
    <mergeCell ref="W32:X32"/>
    <mergeCell ref="Y32:Z32"/>
    <mergeCell ref="AA32:AB32"/>
    <mergeCell ref="AC32:AD32"/>
    <mergeCell ref="AE32:AF32"/>
    <mergeCell ref="AG32:AH32"/>
    <mergeCell ref="AC29:AD29"/>
    <mergeCell ref="AI32:AJ32"/>
    <mergeCell ref="AK32:AL32"/>
    <mergeCell ref="AM32:AN32"/>
    <mergeCell ref="AO32:AP32"/>
    <mergeCell ref="K31:L31"/>
    <mergeCell ref="M31:N31"/>
    <mergeCell ref="O31:P31"/>
    <mergeCell ref="Q31:R31"/>
    <mergeCell ref="S31:T31"/>
    <mergeCell ref="U31:V31"/>
    <mergeCell ref="W31:X31"/>
    <mergeCell ref="AI31:AJ31"/>
    <mergeCell ref="AK31:AL31"/>
    <mergeCell ref="AM31:AN31"/>
    <mergeCell ref="Y31:Z31"/>
    <mergeCell ref="AA31:AB31"/>
    <mergeCell ref="AM33:AN33"/>
    <mergeCell ref="AO33:AP33"/>
    <mergeCell ref="AO31:AP31"/>
    <mergeCell ref="K32:L32"/>
    <mergeCell ref="M32:N32"/>
    <mergeCell ref="O32:P32"/>
    <mergeCell ref="Q32:R32"/>
    <mergeCell ref="AC31:AD31"/>
    <mergeCell ref="AE31:AF31"/>
    <mergeCell ref="AG31:AH31"/>
    <mergeCell ref="K34:L34"/>
    <mergeCell ref="M34:N34"/>
    <mergeCell ref="O34:P34"/>
    <mergeCell ref="Q34:R34"/>
    <mergeCell ref="S34:T34"/>
    <mergeCell ref="U34:V34"/>
    <mergeCell ref="W34:X34"/>
    <mergeCell ref="Y34:Z34"/>
    <mergeCell ref="AA34:AB34"/>
    <mergeCell ref="AC34:AD34"/>
    <mergeCell ref="AE34:AF34"/>
    <mergeCell ref="AG34:AH34"/>
    <mergeCell ref="AI34:AJ34"/>
    <mergeCell ref="AK34:AL34"/>
    <mergeCell ref="AM34:AN34"/>
    <mergeCell ref="AO34:AP34"/>
    <mergeCell ref="K33:L33"/>
    <mergeCell ref="M33:N33"/>
    <mergeCell ref="O33:P33"/>
    <mergeCell ref="Q33:R33"/>
    <mergeCell ref="S33:T33"/>
    <mergeCell ref="U33:V33"/>
    <mergeCell ref="W33:X33"/>
    <mergeCell ref="AC33:AD33"/>
    <mergeCell ref="AE33:AF33"/>
    <mergeCell ref="AG33:AH33"/>
    <mergeCell ref="AI33:AJ33"/>
    <mergeCell ref="AK33:AL33"/>
    <mergeCell ref="Y33:Z33"/>
    <mergeCell ref="AA33:AB33"/>
    <mergeCell ref="H36:AP36"/>
    <mergeCell ref="K38:N38"/>
    <mergeCell ref="O38:R38"/>
    <mergeCell ref="S38:V38"/>
    <mergeCell ref="W38:Z38"/>
    <mergeCell ref="AA38:AD38"/>
    <mergeCell ref="AE38:AH38"/>
    <mergeCell ref="AI38:AL38"/>
    <mergeCell ref="AM38:AP38"/>
    <mergeCell ref="H37:J37"/>
    <mergeCell ref="K37:N37"/>
    <mergeCell ref="O37:R37"/>
    <mergeCell ref="S37:V37"/>
    <mergeCell ref="W37:Z37"/>
    <mergeCell ref="AA37:AD37"/>
    <mergeCell ref="AE37:AH37"/>
    <mergeCell ref="AI37:AL37"/>
    <mergeCell ref="AM37:AP37"/>
    <mergeCell ref="AE39:AF39"/>
    <mergeCell ref="AG39:AH39"/>
    <mergeCell ref="AI39:AJ39"/>
    <mergeCell ref="AK39:AL39"/>
    <mergeCell ref="AM39:AN39"/>
    <mergeCell ref="AO39:AP39"/>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K39:L39"/>
    <mergeCell ref="M39:N39"/>
    <mergeCell ref="AC39:AD39"/>
    <mergeCell ref="O39:P39"/>
    <mergeCell ref="Q39:R39"/>
    <mergeCell ref="S39:T39"/>
    <mergeCell ref="U39:V39"/>
    <mergeCell ref="W39:X39"/>
    <mergeCell ref="Y39:Z39"/>
    <mergeCell ref="AA39:AB39"/>
    <mergeCell ref="AC41:AD41"/>
    <mergeCell ref="AE41:AF41"/>
    <mergeCell ref="AG41:AH41"/>
    <mergeCell ref="AI41:AJ41"/>
    <mergeCell ref="AK41:AL41"/>
    <mergeCell ref="AM41:AN41"/>
    <mergeCell ref="AO41:AP41"/>
    <mergeCell ref="K41:L41"/>
    <mergeCell ref="AE43:AF43"/>
    <mergeCell ref="AG43:AH43"/>
    <mergeCell ref="AI43:AJ43"/>
    <mergeCell ref="AK43:AL43"/>
    <mergeCell ref="AM43:AN43"/>
    <mergeCell ref="AO43:AP43"/>
    <mergeCell ref="M41:N41"/>
    <mergeCell ref="O41:P41"/>
    <mergeCell ref="Q41:R41"/>
    <mergeCell ref="S41:T41"/>
    <mergeCell ref="U41:V41"/>
    <mergeCell ref="W41:X41"/>
    <mergeCell ref="Y41:Z41"/>
    <mergeCell ref="AA41:AB41"/>
    <mergeCell ref="AC42:AD42"/>
    <mergeCell ref="AE42:AF42"/>
    <mergeCell ref="AG42:AH42"/>
    <mergeCell ref="AI42:AJ42"/>
    <mergeCell ref="AK42:AL42"/>
    <mergeCell ref="AM42:AN42"/>
    <mergeCell ref="AO42:AP42"/>
    <mergeCell ref="K42:L42"/>
    <mergeCell ref="M42:N42"/>
    <mergeCell ref="O42:P42"/>
    <mergeCell ref="AC43:AD43"/>
    <mergeCell ref="O43:P43"/>
    <mergeCell ref="Q43:R43"/>
    <mergeCell ref="S43:T43"/>
    <mergeCell ref="U43:V43"/>
    <mergeCell ref="W43:X43"/>
    <mergeCell ref="Y43:Z43"/>
    <mergeCell ref="AA43:AB43"/>
    <mergeCell ref="AC45:AD45"/>
    <mergeCell ref="AC44:AD44"/>
    <mergeCell ref="AE44:AF44"/>
    <mergeCell ref="AG44:AH44"/>
    <mergeCell ref="AI44:AJ44"/>
    <mergeCell ref="AK44:AL44"/>
    <mergeCell ref="AM44:AN44"/>
    <mergeCell ref="AO44:AP44"/>
    <mergeCell ref="K43:L43"/>
    <mergeCell ref="M43:N43"/>
    <mergeCell ref="K44:L44"/>
    <mergeCell ref="M44:N44"/>
    <mergeCell ref="O44:P44"/>
    <mergeCell ref="Q44:R44"/>
    <mergeCell ref="S44:T44"/>
    <mergeCell ref="U44:V44"/>
    <mergeCell ref="W44:X44"/>
    <mergeCell ref="Y44:Z44"/>
    <mergeCell ref="AA44:AB44"/>
    <mergeCell ref="AE45:AF45"/>
    <mergeCell ref="AG45:AH45"/>
    <mergeCell ref="AI45:AJ45"/>
    <mergeCell ref="AK45:AL45"/>
    <mergeCell ref="AM45:AN45"/>
    <mergeCell ref="AO45:AP45"/>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K45:L45"/>
    <mergeCell ref="M45:N45"/>
    <mergeCell ref="O45:P45"/>
    <mergeCell ref="Q45:R45"/>
    <mergeCell ref="S45:T45"/>
    <mergeCell ref="U45:V45"/>
    <mergeCell ref="W45:X45"/>
    <mergeCell ref="Y45:Z45"/>
    <mergeCell ref="AA45:AB45"/>
    <mergeCell ref="H82:AP82"/>
    <mergeCell ref="K83:N83"/>
    <mergeCell ref="O83:R83"/>
    <mergeCell ref="S83:V83"/>
    <mergeCell ref="W83:Z83"/>
    <mergeCell ref="AA83:AD83"/>
    <mergeCell ref="AE83:AH83"/>
    <mergeCell ref="AI83:AL83"/>
    <mergeCell ref="AM83:AP83"/>
    <mergeCell ref="K84:L84"/>
    <mergeCell ref="M84:N84"/>
    <mergeCell ref="O84:P84"/>
    <mergeCell ref="Q84:R84"/>
    <mergeCell ref="S84:T84"/>
    <mergeCell ref="U84:V84"/>
    <mergeCell ref="W84:X84"/>
    <mergeCell ref="Y84:Z84"/>
    <mergeCell ref="AA84:AB84"/>
    <mergeCell ref="AC84:AD84"/>
    <mergeCell ref="AE84:AF84"/>
    <mergeCell ref="AG84:AH84"/>
    <mergeCell ref="AI84:AJ84"/>
    <mergeCell ref="AK84:AL84"/>
    <mergeCell ref="AM84:AN84"/>
    <mergeCell ref="AO84:AP84"/>
    <mergeCell ref="K85:L85"/>
    <mergeCell ref="M85:N85"/>
    <mergeCell ref="O85:P85"/>
    <mergeCell ref="Q85:R85"/>
    <mergeCell ref="S85:T85"/>
    <mergeCell ref="U85:V85"/>
    <mergeCell ref="W85:X85"/>
    <mergeCell ref="Y85:Z85"/>
    <mergeCell ref="AA85:AB85"/>
    <mergeCell ref="AC85:AD85"/>
    <mergeCell ref="AE85:AF85"/>
    <mergeCell ref="AG85:AH85"/>
    <mergeCell ref="AI85:AJ85"/>
    <mergeCell ref="AK85:AL85"/>
    <mergeCell ref="AM85:AN85"/>
    <mergeCell ref="AO85:AP85"/>
    <mergeCell ref="K86:L86"/>
    <mergeCell ref="M86:N86"/>
    <mergeCell ref="O86:P86"/>
    <mergeCell ref="Q86:R86"/>
    <mergeCell ref="S86:T86"/>
    <mergeCell ref="U86:V86"/>
    <mergeCell ref="W86:X86"/>
    <mergeCell ref="Y86:Z86"/>
    <mergeCell ref="AA86:AB86"/>
    <mergeCell ref="AC86:AD86"/>
    <mergeCell ref="AE86:AF86"/>
    <mergeCell ref="AG86:AH86"/>
    <mergeCell ref="AI86:AJ86"/>
    <mergeCell ref="AK86:AL86"/>
    <mergeCell ref="AM86:AN86"/>
    <mergeCell ref="AO86:AP86"/>
    <mergeCell ref="K87:L87"/>
    <mergeCell ref="M87:N87"/>
    <mergeCell ref="O87:P87"/>
    <mergeCell ref="Q87:R87"/>
    <mergeCell ref="S87:T87"/>
    <mergeCell ref="U87:V87"/>
    <mergeCell ref="W87:X87"/>
    <mergeCell ref="Y87:Z87"/>
    <mergeCell ref="AA87:AB87"/>
    <mergeCell ref="AC87:AD87"/>
    <mergeCell ref="AE87:AF87"/>
    <mergeCell ref="AG87:AH87"/>
    <mergeCell ref="AI87:AJ87"/>
    <mergeCell ref="AK87:AL87"/>
    <mergeCell ref="AM87:AN87"/>
    <mergeCell ref="AO87:AP87"/>
    <mergeCell ref="K88:L88"/>
    <mergeCell ref="M88:N88"/>
    <mergeCell ref="O88:P88"/>
    <mergeCell ref="Q88:R88"/>
    <mergeCell ref="S88:T88"/>
    <mergeCell ref="U88:V88"/>
    <mergeCell ref="W88:X88"/>
    <mergeCell ref="Y88:Z88"/>
    <mergeCell ref="AA88:AB88"/>
    <mergeCell ref="AC88:AD88"/>
    <mergeCell ref="AE88:AF88"/>
    <mergeCell ref="AG88:AH88"/>
    <mergeCell ref="AI88:AJ88"/>
    <mergeCell ref="AK88:AL88"/>
    <mergeCell ref="AM88:AN88"/>
    <mergeCell ref="AO88:AP88"/>
    <mergeCell ref="AA89:AB89"/>
    <mergeCell ref="AC89:AD89"/>
    <mergeCell ref="AE89:AF89"/>
    <mergeCell ref="AG89:AH89"/>
    <mergeCell ref="AI89:AJ89"/>
    <mergeCell ref="AK89:AL89"/>
    <mergeCell ref="AM89:AN89"/>
    <mergeCell ref="AO89:AP89"/>
    <mergeCell ref="K90:L90"/>
    <mergeCell ref="M90:N90"/>
    <mergeCell ref="O90:P90"/>
    <mergeCell ref="Q90:R90"/>
    <mergeCell ref="S90:T90"/>
    <mergeCell ref="U90:V90"/>
    <mergeCell ref="W90:X90"/>
    <mergeCell ref="Y90:Z90"/>
    <mergeCell ref="AA90:AB90"/>
    <mergeCell ref="AC90:AD90"/>
    <mergeCell ref="AE90:AF90"/>
    <mergeCell ref="AG90:AH90"/>
    <mergeCell ref="AI90:AJ90"/>
    <mergeCell ref="AK90:AL90"/>
    <mergeCell ref="AM90:AN90"/>
    <mergeCell ref="AO90:AP90"/>
    <mergeCell ref="K91:L91"/>
    <mergeCell ref="M91:N91"/>
    <mergeCell ref="O91:P91"/>
    <mergeCell ref="Q91:R91"/>
    <mergeCell ref="S91:T91"/>
    <mergeCell ref="U91:V91"/>
    <mergeCell ref="W91:X91"/>
    <mergeCell ref="Y91:Z91"/>
    <mergeCell ref="AA91:AB91"/>
    <mergeCell ref="AC91:AD91"/>
    <mergeCell ref="AE91:AF91"/>
    <mergeCell ref="AG91:AH91"/>
    <mergeCell ref="AI91:AJ91"/>
    <mergeCell ref="AK91:AL91"/>
    <mergeCell ref="AM91:AN91"/>
    <mergeCell ref="AO91:AP91"/>
    <mergeCell ref="AQ84:AR84"/>
    <mergeCell ref="AQ85:AR85"/>
    <mergeCell ref="AQ86:AR86"/>
    <mergeCell ref="AQ87:AR87"/>
    <mergeCell ref="AQ88:AR88"/>
    <mergeCell ref="AQ89:AR89"/>
    <mergeCell ref="AQ90:AR90"/>
    <mergeCell ref="AQ91:AR91"/>
    <mergeCell ref="K89:L89"/>
    <mergeCell ref="M89:N89"/>
    <mergeCell ref="O89:P89"/>
    <mergeCell ref="Q89:R89"/>
    <mergeCell ref="S89:T89"/>
    <mergeCell ref="U89:V89"/>
    <mergeCell ref="W89:X89"/>
    <mergeCell ref="Y89:Z8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U67"/>
  <sheetViews>
    <sheetView zoomScaleNormal="100" workbookViewId="0">
      <selection activeCell="Q3" sqref="Q3:R5"/>
    </sheetView>
  </sheetViews>
  <sheetFormatPr defaultRowHeight="11.25" x14ac:dyDescent="0.15"/>
  <cols>
    <col min="1" max="1" width="1.625" style="1" customWidth="1"/>
    <col min="2" max="2" width="13.125" style="1" customWidth="1"/>
    <col min="3" max="3" width="3.125" style="1" customWidth="1"/>
    <col min="4" max="4" width="1.625" style="1" customWidth="1"/>
    <col min="5" max="5" width="13.125" style="1" customWidth="1"/>
    <col min="6" max="6" width="3.125" style="1" customWidth="1"/>
    <col min="7" max="7" width="1.625" style="1" customWidth="1"/>
    <col min="8" max="8" width="13.125" style="1" customWidth="1"/>
    <col min="9" max="9" width="3.125" style="1" customWidth="1"/>
    <col min="10" max="10" width="1.625" style="1" customWidth="1"/>
    <col min="11" max="11" width="13.125" style="1" customWidth="1"/>
    <col min="12" max="12" width="3.125" style="1" customWidth="1"/>
    <col min="13" max="13" width="1.625" style="1" customWidth="1"/>
    <col min="14" max="14" width="13.125" style="1" customWidth="1"/>
    <col min="15" max="15" width="3.125" style="1" customWidth="1"/>
    <col min="16" max="16" width="1.625" style="1" customWidth="1"/>
    <col min="17" max="17" width="13.125" style="1" customWidth="1"/>
    <col min="18" max="18" width="3.125" style="1" customWidth="1"/>
    <col min="19" max="19" width="1.625" style="1" customWidth="1"/>
    <col min="20" max="20" width="13.125" style="1" customWidth="1"/>
    <col min="21" max="21" width="3.125" style="1" customWidth="1"/>
    <col min="22" max="16384" width="9" style="1"/>
  </cols>
  <sheetData>
    <row r="2" spans="2:21" x14ac:dyDescent="0.15">
      <c r="B2" s="17" t="s">
        <v>0</v>
      </c>
      <c r="C2" s="18" t="s">
        <v>183</v>
      </c>
      <c r="E2" s="17" t="s">
        <v>167</v>
      </c>
      <c r="F2" s="18" t="s">
        <v>183</v>
      </c>
      <c r="H2" s="17" t="s">
        <v>166</v>
      </c>
      <c r="I2" s="18" t="s">
        <v>183</v>
      </c>
      <c r="K2" s="4" t="s">
        <v>168</v>
      </c>
      <c r="L2" s="6" t="s">
        <v>183</v>
      </c>
      <c r="N2" s="4" t="s">
        <v>169</v>
      </c>
      <c r="O2" s="6" t="s">
        <v>183</v>
      </c>
      <c r="Q2" s="4" t="s">
        <v>170</v>
      </c>
      <c r="R2" s="6" t="s">
        <v>183</v>
      </c>
      <c r="T2" s="4" t="s">
        <v>171</v>
      </c>
      <c r="U2" s="6" t="s">
        <v>183</v>
      </c>
    </row>
    <row r="3" spans="2:21" x14ac:dyDescent="0.15">
      <c r="B3" s="8" t="s">
        <v>467</v>
      </c>
      <c r="C3" s="8">
        <v>0</v>
      </c>
      <c r="E3" s="8" t="s">
        <v>467</v>
      </c>
      <c r="F3" s="8">
        <v>0</v>
      </c>
      <c r="H3" s="8" t="s">
        <v>467</v>
      </c>
      <c r="I3" s="8">
        <v>0</v>
      </c>
      <c r="K3" s="8" t="s">
        <v>467</v>
      </c>
      <c r="L3" s="8">
        <v>0</v>
      </c>
      <c r="N3" s="8" t="s">
        <v>467</v>
      </c>
      <c r="O3" s="8">
        <v>0</v>
      </c>
      <c r="Q3" s="8" t="s">
        <v>467</v>
      </c>
      <c r="R3" s="8">
        <v>0</v>
      </c>
      <c r="T3" s="8" t="s">
        <v>467</v>
      </c>
      <c r="U3" s="8">
        <v>0</v>
      </c>
    </row>
    <row r="4" spans="2:21" x14ac:dyDescent="0.15">
      <c r="B4" s="8" t="s">
        <v>1</v>
      </c>
      <c r="C4" s="8">
        <v>1</v>
      </c>
      <c r="E4" s="8" t="s">
        <v>83</v>
      </c>
      <c r="F4" s="8">
        <v>3</v>
      </c>
      <c r="H4" s="8" t="s">
        <v>65</v>
      </c>
      <c r="I4" s="8">
        <v>2</v>
      </c>
      <c r="K4" s="8" t="s">
        <v>131</v>
      </c>
      <c r="L4" s="8">
        <v>2</v>
      </c>
      <c r="N4" s="8" t="s">
        <v>154</v>
      </c>
      <c r="O4" s="8">
        <v>2</v>
      </c>
      <c r="Q4" s="8" t="s">
        <v>152</v>
      </c>
      <c r="R4" s="8">
        <v>5</v>
      </c>
      <c r="T4" s="8" t="s">
        <v>164</v>
      </c>
      <c r="U4" s="8">
        <v>30</v>
      </c>
    </row>
    <row r="5" spans="2:21" x14ac:dyDescent="0.15">
      <c r="B5" s="9" t="s">
        <v>2</v>
      </c>
      <c r="C5" s="9">
        <v>2</v>
      </c>
      <c r="E5" s="9" t="s">
        <v>84</v>
      </c>
      <c r="F5" s="9">
        <v>4</v>
      </c>
      <c r="H5" s="9" t="s">
        <v>66</v>
      </c>
      <c r="I5" s="9">
        <v>4</v>
      </c>
      <c r="K5" s="9" t="s">
        <v>132</v>
      </c>
      <c r="L5" s="9">
        <v>3</v>
      </c>
      <c r="N5" s="9" t="s">
        <v>155</v>
      </c>
      <c r="O5" s="9">
        <v>2</v>
      </c>
      <c r="Q5" s="10" t="s">
        <v>153</v>
      </c>
      <c r="R5" s="10">
        <v>20</v>
      </c>
      <c r="T5" s="10" t="s">
        <v>165</v>
      </c>
      <c r="U5" s="10">
        <v>999</v>
      </c>
    </row>
    <row r="6" spans="2:21" x14ac:dyDescent="0.15">
      <c r="B6" s="9" t="s">
        <v>3</v>
      </c>
      <c r="C6" s="9">
        <v>5</v>
      </c>
      <c r="E6" s="9" t="s">
        <v>85</v>
      </c>
      <c r="F6" s="9">
        <v>7</v>
      </c>
      <c r="H6" s="9" t="s">
        <v>67</v>
      </c>
      <c r="I6" s="9">
        <v>7</v>
      </c>
      <c r="K6" s="9" t="s">
        <v>133</v>
      </c>
      <c r="L6" s="9">
        <v>6</v>
      </c>
      <c r="N6" s="9" t="s">
        <v>156</v>
      </c>
      <c r="O6" s="9">
        <v>5</v>
      </c>
    </row>
    <row r="7" spans="2:21" x14ac:dyDescent="0.15">
      <c r="B7" s="9" t="s">
        <v>4</v>
      </c>
      <c r="C7" s="9">
        <v>6</v>
      </c>
      <c r="E7" s="9" t="s">
        <v>86</v>
      </c>
      <c r="F7" s="9">
        <v>10</v>
      </c>
      <c r="H7" s="9" t="s">
        <v>68</v>
      </c>
      <c r="I7" s="9">
        <v>11</v>
      </c>
      <c r="K7" s="9" t="s">
        <v>134</v>
      </c>
      <c r="L7" s="9">
        <v>7</v>
      </c>
      <c r="N7" s="9" t="s">
        <v>157</v>
      </c>
      <c r="O7" s="9">
        <v>5</v>
      </c>
    </row>
    <row r="8" spans="2:21" x14ac:dyDescent="0.15">
      <c r="B8" s="9" t="s">
        <v>5</v>
      </c>
      <c r="C8" s="9">
        <v>9</v>
      </c>
      <c r="E8" s="9" t="s">
        <v>87</v>
      </c>
      <c r="F8" s="9">
        <v>11</v>
      </c>
      <c r="H8" s="9" t="s">
        <v>69</v>
      </c>
      <c r="I8" s="9">
        <v>16</v>
      </c>
      <c r="K8" s="9" t="s">
        <v>135</v>
      </c>
      <c r="L8" s="9">
        <v>7</v>
      </c>
      <c r="N8" s="9" t="s">
        <v>158</v>
      </c>
      <c r="O8" s="9">
        <v>5</v>
      </c>
    </row>
    <row r="9" spans="2:21" x14ac:dyDescent="0.15">
      <c r="B9" s="9" t="s">
        <v>6</v>
      </c>
      <c r="C9" s="9">
        <v>10</v>
      </c>
      <c r="E9" s="9" t="s">
        <v>88</v>
      </c>
      <c r="F9" s="9">
        <v>12</v>
      </c>
      <c r="H9" s="9" t="s">
        <v>70</v>
      </c>
      <c r="I9" s="9">
        <v>18</v>
      </c>
      <c r="K9" s="9" t="s">
        <v>136</v>
      </c>
      <c r="L9" s="9">
        <v>11</v>
      </c>
      <c r="N9" s="9" t="s">
        <v>159</v>
      </c>
      <c r="O9" s="9">
        <v>5</v>
      </c>
    </row>
    <row r="10" spans="2:21" x14ac:dyDescent="0.15">
      <c r="B10" s="9" t="s">
        <v>7</v>
      </c>
      <c r="C10" s="9">
        <v>12</v>
      </c>
      <c r="E10" s="9" t="s">
        <v>89</v>
      </c>
      <c r="F10" s="9">
        <v>13</v>
      </c>
      <c r="H10" s="9" t="s">
        <v>71</v>
      </c>
      <c r="I10" s="9">
        <v>20</v>
      </c>
      <c r="K10" s="9" t="s">
        <v>137</v>
      </c>
      <c r="L10" s="9">
        <v>14</v>
      </c>
      <c r="N10" s="9" t="s">
        <v>160</v>
      </c>
      <c r="O10" s="9">
        <v>10</v>
      </c>
    </row>
    <row r="11" spans="2:21" x14ac:dyDescent="0.15">
      <c r="B11" s="9" t="s">
        <v>8</v>
      </c>
      <c r="C11" s="9">
        <v>12</v>
      </c>
      <c r="E11" s="9" t="s">
        <v>90</v>
      </c>
      <c r="F11" s="9">
        <v>15</v>
      </c>
      <c r="H11" s="9" t="s">
        <v>72</v>
      </c>
      <c r="I11" s="9">
        <v>25</v>
      </c>
      <c r="K11" s="9" t="s">
        <v>138</v>
      </c>
      <c r="L11" s="9">
        <v>16</v>
      </c>
      <c r="N11" s="9" t="s">
        <v>161</v>
      </c>
      <c r="O11" s="9">
        <v>10</v>
      </c>
    </row>
    <row r="12" spans="2:21" x14ac:dyDescent="0.15">
      <c r="B12" s="9" t="s">
        <v>9</v>
      </c>
      <c r="C12" s="9">
        <v>13</v>
      </c>
      <c r="E12" s="9" t="s">
        <v>91</v>
      </c>
      <c r="F12" s="9">
        <v>15</v>
      </c>
      <c r="H12" s="9" t="s">
        <v>73</v>
      </c>
      <c r="I12" s="9">
        <v>30</v>
      </c>
      <c r="K12" s="9" t="s">
        <v>139</v>
      </c>
      <c r="L12" s="9">
        <v>20</v>
      </c>
      <c r="N12" s="9" t="s">
        <v>162</v>
      </c>
      <c r="O12" s="9">
        <v>15</v>
      </c>
    </row>
    <row r="13" spans="2:21" x14ac:dyDescent="0.15">
      <c r="B13" s="9" t="s">
        <v>10</v>
      </c>
      <c r="C13" s="9">
        <v>15</v>
      </c>
      <c r="E13" s="9" t="s">
        <v>92</v>
      </c>
      <c r="F13" s="9">
        <v>17</v>
      </c>
      <c r="H13" s="9" t="s">
        <v>74</v>
      </c>
      <c r="I13" s="9">
        <v>35</v>
      </c>
      <c r="K13" s="9" t="s">
        <v>140</v>
      </c>
      <c r="L13" s="9">
        <v>25</v>
      </c>
      <c r="N13" s="10" t="s">
        <v>163</v>
      </c>
      <c r="O13" s="10">
        <v>15</v>
      </c>
    </row>
    <row r="14" spans="2:21" x14ac:dyDescent="0.15">
      <c r="B14" s="9" t="s">
        <v>11</v>
      </c>
      <c r="C14" s="9">
        <v>15</v>
      </c>
      <c r="E14" s="9" t="s">
        <v>93</v>
      </c>
      <c r="F14" s="9">
        <v>17</v>
      </c>
      <c r="H14" s="9" t="s">
        <v>75</v>
      </c>
      <c r="I14" s="9">
        <v>40</v>
      </c>
      <c r="K14" s="9" t="s">
        <v>141</v>
      </c>
      <c r="L14" s="9">
        <v>25</v>
      </c>
    </row>
    <row r="15" spans="2:21" x14ac:dyDescent="0.15">
      <c r="B15" s="9" t="s">
        <v>12</v>
      </c>
      <c r="C15" s="9">
        <v>18</v>
      </c>
      <c r="E15" s="9" t="s">
        <v>94</v>
      </c>
      <c r="F15" s="9">
        <v>18</v>
      </c>
      <c r="H15" s="9" t="s">
        <v>76</v>
      </c>
      <c r="I15" s="9">
        <v>45</v>
      </c>
      <c r="K15" s="9" t="s">
        <v>142</v>
      </c>
      <c r="L15" s="9">
        <v>28</v>
      </c>
    </row>
    <row r="16" spans="2:21" x14ac:dyDescent="0.15">
      <c r="B16" s="9" t="s">
        <v>13</v>
      </c>
      <c r="C16" s="9">
        <v>19</v>
      </c>
      <c r="E16" s="9" t="s">
        <v>95</v>
      </c>
      <c r="F16" s="9">
        <v>19</v>
      </c>
      <c r="H16" s="9" t="s">
        <v>77</v>
      </c>
      <c r="I16" s="9">
        <v>48</v>
      </c>
      <c r="K16" s="9" t="s">
        <v>143</v>
      </c>
      <c r="L16" s="9">
        <v>35</v>
      </c>
    </row>
    <row r="17" spans="2:12" x14ac:dyDescent="0.15">
      <c r="B17" s="9" t="s">
        <v>14</v>
      </c>
      <c r="C17" s="9">
        <v>21</v>
      </c>
      <c r="E17" s="9" t="s">
        <v>96</v>
      </c>
      <c r="F17" s="9">
        <v>20</v>
      </c>
      <c r="H17" s="9" t="s">
        <v>78</v>
      </c>
      <c r="I17" s="9">
        <v>55</v>
      </c>
      <c r="K17" s="9" t="s">
        <v>144</v>
      </c>
      <c r="L17" s="9">
        <v>38</v>
      </c>
    </row>
    <row r="18" spans="2:12" x14ac:dyDescent="0.15">
      <c r="B18" s="9" t="s">
        <v>15</v>
      </c>
      <c r="C18" s="9">
        <v>22</v>
      </c>
      <c r="E18" s="9" t="s">
        <v>97</v>
      </c>
      <c r="F18" s="9">
        <v>20</v>
      </c>
      <c r="H18" s="9" t="s">
        <v>79</v>
      </c>
      <c r="I18" s="9">
        <v>60</v>
      </c>
      <c r="K18" s="9" t="s">
        <v>145</v>
      </c>
      <c r="L18" s="9">
        <v>40</v>
      </c>
    </row>
    <row r="19" spans="2:12" x14ac:dyDescent="0.15">
      <c r="B19" s="9" t="s">
        <v>16</v>
      </c>
      <c r="C19" s="9">
        <v>24</v>
      </c>
      <c r="E19" s="9" t="s">
        <v>98</v>
      </c>
      <c r="F19" s="9">
        <v>21</v>
      </c>
      <c r="H19" s="9" t="s">
        <v>80</v>
      </c>
      <c r="I19" s="9">
        <v>62</v>
      </c>
      <c r="K19" s="9" t="s">
        <v>146</v>
      </c>
      <c r="L19" s="9">
        <v>40</v>
      </c>
    </row>
    <row r="20" spans="2:12" x14ac:dyDescent="0.15">
      <c r="B20" s="9" t="s">
        <v>17</v>
      </c>
      <c r="C20" s="9">
        <v>25</v>
      </c>
      <c r="E20" s="9" t="s">
        <v>99</v>
      </c>
      <c r="F20" s="9">
        <v>23</v>
      </c>
      <c r="H20" s="9" t="s">
        <v>81</v>
      </c>
      <c r="I20" s="9">
        <v>65</v>
      </c>
      <c r="K20" s="9" t="s">
        <v>147</v>
      </c>
      <c r="L20" s="9">
        <v>45</v>
      </c>
    </row>
    <row r="21" spans="2:12" x14ac:dyDescent="0.15">
      <c r="B21" s="9" t="s">
        <v>18</v>
      </c>
      <c r="C21" s="9">
        <v>27</v>
      </c>
      <c r="E21" s="9" t="s">
        <v>100</v>
      </c>
      <c r="F21" s="9">
        <v>23</v>
      </c>
      <c r="H21" s="10" t="s">
        <v>82</v>
      </c>
      <c r="I21" s="10">
        <v>70</v>
      </c>
      <c r="K21" s="9" t="s">
        <v>148</v>
      </c>
      <c r="L21" s="9">
        <v>45</v>
      </c>
    </row>
    <row r="22" spans="2:12" x14ac:dyDescent="0.15">
      <c r="B22" s="9" t="s">
        <v>19</v>
      </c>
      <c r="C22" s="9">
        <v>28</v>
      </c>
      <c r="E22" s="9" t="s">
        <v>101</v>
      </c>
      <c r="F22" s="9">
        <v>23</v>
      </c>
      <c r="K22" s="9" t="s">
        <v>149</v>
      </c>
      <c r="L22" s="9">
        <v>50</v>
      </c>
    </row>
    <row r="23" spans="2:12" x14ac:dyDescent="0.15">
      <c r="B23" s="9" t="s">
        <v>20</v>
      </c>
      <c r="C23" s="9">
        <v>29</v>
      </c>
      <c r="E23" s="9" t="s">
        <v>102</v>
      </c>
      <c r="F23" s="9">
        <v>25</v>
      </c>
      <c r="K23" s="9" t="s">
        <v>150</v>
      </c>
      <c r="L23" s="9">
        <v>55</v>
      </c>
    </row>
    <row r="24" spans="2:12" x14ac:dyDescent="0.15">
      <c r="B24" s="9" t="s">
        <v>21</v>
      </c>
      <c r="C24" s="9">
        <v>30</v>
      </c>
      <c r="E24" s="9" t="s">
        <v>103</v>
      </c>
      <c r="F24" s="9">
        <v>28</v>
      </c>
      <c r="K24" s="10" t="s">
        <v>151</v>
      </c>
      <c r="L24" s="10">
        <v>70</v>
      </c>
    </row>
    <row r="25" spans="2:12" x14ac:dyDescent="0.15">
      <c r="B25" s="9" t="s">
        <v>22</v>
      </c>
      <c r="C25" s="9">
        <v>33</v>
      </c>
      <c r="E25" s="9" t="s">
        <v>104</v>
      </c>
      <c r="F25" s="9">
        <v>30</v>
      </c>
    </row>
    <row r="26" spans="2:12" x14ac:dyDescent="0.15">
      <c r="B26" s="9" t="s">
        <v>23</v>
      </c>
      <c r="C26" s="9">
        <v>35</v>
      </c>
      <c r="E26" s="9" t="s">
        <v>105</v>
      </c>
      <c r="F26" s="9">
        <v>33</v>
      </c>
    </row>
    <row r="27" spans="2:12" x14ac:dyDescent="0.15">
      <c r="B27" s="9" t="s">
        <v>24</v>
      </c>
      <c r="C27" s="9">
        <v>35</v>
      </c>
      <c r="E27" s="9" t="s">
        <v>106</v>
      </c>
      <c r="F27" s="9">
        <v>36</v>
      </c>
    </row>
    <row r="28" spans="2:12" x14ac:dyDescent="0.15">
      <c r="B28" s="9" t="s">
        <v>25</v>
      </c>
      <c r="C28" s="9">
        <v>35</v>
      </c>
      <c r="E28" s="9" t="s">
        <v>107</v>
      </c>
      <c r="F28" s="9">
        <v>37</v>
      </c>
    </row>
    <row r="29" spans="2:12" x14ac:dyDescent="0.15">
      <c r="B29" s="9" t="s">
        <v>26</v>
      </c>
      <c r="C29" s="9">
        <v>38</v>
      </c>
      <c r="E29" s="9" t="s">
        <v>108</v>
      </c>
      <c r="F29" s="9">
        <v>40</v>
      </c>
    </row>
    <row r="30" spans="2:12" x14ac:dyDescent="0.15">
      <c r="B30" s="9" t="s">
        <v>27</v>
      </c>
      <c r="C30" s="9">
        <v>40</v>
      </c>
      <c r="E30" s="9" t="s">
        <v>109</v>
      </c>
      <c r="F30" s="9">
        <v>43</v>
      </c>
    </row>
    <row r="31" spans="2:12" x14ac:dyDescent="0.15">
      <c r="B31" s="9" t="s">
        <v>28</v>
      </c>
      <c r="C31" s="9">
        <v>42</v>
      </c>
      <c r="E31" s="9" t="s">
        <v>110</v>
      </c>
      <c r="F31" s="9">
        <v>45</v>
      </c>
    </row>
    <row r="32" spans="2:12" x14ac:dyDescent="0.15">
      <c r="B32" s="9" t="s">
        <v>29</v>
      </c>
      <c r="C32" s="9">
        <v>49</v>
      </c>
      <c r="E32" s="9" t="s">
        <v>111</v>
      </c>
      <c r="F32" s="9">
        <v>50</v>
      </c>
    </row>
    <row r="33" spans="2:6" x14ac:dyDescent="0.15">
      <c r="B33" s="9" t="s">
        <v>30</v>
      </c>
      <c r="C33" s="9">
        <v>53</v>
      </c>
      <c r="E33" s="9" t="s">
        <v>112</v>
      </c>
      <c r="F33" s="9">
        <v>50</v>
      </c>
    </row>
    <row r="34" spans="2:6" x14ac:dyDescent="0.15">
      <c r="B34" s="9" t="s">
        <v>31</v>
      </c>
      <c r="C34" s="9">
        <v>54</v>
      </c>
      <c r="E34" s="9" t="s">
        <v>113</v>
      </c>
      <c r="F34" s="9">
        <v>55</v>
      </c>
    </row>
    <row r="35" spans="2:6" x14ac:dyDescent="0.15">
      <c r="B35" s="9" t="s">
        <v>32</v>
      </c>
      <c r="C35" s="9">
        <v>58</v>
      </c>
      <c r="E35" s="9" t="s">
        <v>114</v>
      </c>
      <c r="F35" s="9">
        <v>55</v>
      </c>
    </row>
    <row r="36" spans="2:6" x14ac:dyDescent="0.15">
      <c r="B36" s="9" t="s">
        <v>33</v>
      </c>
      <c r="C36" s="9">
        <v>60</v>
      </c>
      <c r="E36" s="9" t="s">
        <v>115</v>
      </c>
      <c r="F36" s="9">
        <v>55</v>
      </c>
    </row>
    <row r="37" spans="2:6" x14ac:dyDescent="0.15">
      <c r="B37" s="9" t="s">
        <v>34</v>
      </c>
      <c r="C37" s="9">
        <v>60</v>
      </c>
      <c r="E37" s="9" t="s">
        <v>116</v>
      </c>
      <c r="F37" s="9">
        <v>60</v>
      </c>
    </row>
    <row r="38" spans="2:6" x14ac:dyDescent="0.15">
      <c r="B38" s="9" t="s">
        <v>35</v>
      </c>
      <c r="C38" s="9">
        <v>62</v>
      </c>
      <c r="E38" s="9" t="s">
        <v>117</v>
      </c>
      <c r="F38" s="9">
        <v>65</v>
      </c>
    </row>
    <row r="39" spans="2:6" x14ac:dyDescent="0.15">
      <c r="B39" s="9" t="s">
        <v>36</v>
      </c>
      <c r="C39" s="9">
        <v>63</v>
      </c>
      <c r="E39" s="9" t="s">
        <v>118</v>
      </c>
      <c r="F39" s="9">
        <v>66</v>
      </c>
    </row>
    <row r="40" spans="2:6" x14ac:dyDescent="0.15">
      <c r="B40" s="9" t="s">
        <v>37</v>
      </c>
      <c r="C40" s="9">
        <v>63</v>
      </c>
      <c r="E40" s="9" t="s">
        <v>119</v>
      </c>
      <c r="F40" s="9">
        <v>70</v>
      </c>
    </row>
    <row r="41" spans="2:6" x14ac:dyDescent="0.15">
      <c r="B41" s="9" t="s">
        <v>38</v>
      </c>
      <c r="C41" s="9">
        <v>64</v>
      </c>
      <c r="E41" s="9" t="s">
        <v>120</v>
      </c>
      <c r="F41" s="9">
        <v>70</v>
      </c>
    </row>
    <row r="42" spans="2:6" x14ac:dyDescent="0.15">
      <c r="B42" s="9" t="s">
        <v>39</v>
      </c>
      <c r="C42" s="9">
        <v>65</v>
      </c>
      <c r="E42" s="9" t="s">
        <v>121</v>
      </c>
      <c r="F42" s="9">
        <v>75</v>
      </c>
    </row>
    <row r="43" spans="2:6" x14ac:dyDescent="0.15">
      <c r="B43" s="9" t="s">
        <v>40</v>
      </c>
      <c r="C43" s="9">
        <v>65</v>
      </c>
      <c r="E43" s="9" t="s">
        <v>122</v>
      </c>
      <c r="F43" s="9">
        <v>80</v>
      </c>
    </row>
    <row r="44" spans="2:6" x14ac:dyDescent="0.15">
      <c r="B44" s="9" t="s">
        <v>41</v>
      </c>
      <c r="C44" s="9">
        <v>65</v>
      </c>
      <c r="E44" s="9" t="s">
        <v>123</v>
      </c>
      <c r="F44" s="9">
        <v>85</v>
      </c>
    </row>
    <row r="45" spans="2:6" x14ac:dyDescent="0.15">
      <c r="B45" s="9" t="s">
        <v>42</v>
      </c>
      <c r="C45" s="9">
        <v>66</v>
      </c>
      <c r="E45" s="9" t="s">
        <v>124</v>
      </c>
      <c r="F45" s="9">
        <v>85</v>
      </c>
    </row>
    <row r="46" spans="2:6" x14ac:dyDescent="0.15">
      <c r="B46" s="9" t="s">
        <v>43</v>
      </c>
      <c r="C46" s="9">
        <v>67</v>
      </c>
      <c r="E46" s="9" t="s">
        <v>125</v>
      </c>
      <c r="F46" s="9">
        <v>90</v>
      </c>
    </row>
    <row r="47" spans="2:6" x14ac:dyDescent="0.15">
      <c r="B47" s="9" t="s">
        <v>44</v>
      </c>
      <c r="C47" s="9">
        <v>70</v>
      </c>
      <c r="E47" s="9" t="s">
        <v>126</v>
      </c>
      <c r="F47" s="9">
        <v>92</v>
      </c>
    </row>
    <row r="48" spans="2:6" x14ac:dyDescent="0.15">
      <c r="B48" s="9" t="s">
        <v>45</v>
      </c>
      <c r="C48" s="9">
        <v>73</v>
      </c>
      <c r="E48" s="9" t="s">
        <v>127</v>
      </c>
      <c r="F48" s="9">
        <v>95</v>
      </c>
    </row>
    <row r="49" spans="2:6" x14ac:dyDescent="0.15">
      <c r="B49" s="9" t="s">
        <v>46</v>
      </c>
      <c r="C49" s="9">
        <v>74</v>
      </c>
      <c r="E49" s="9" t="s">
        <v>128</v>
      </c>
      <c r="F49" s="9">
        <v>95</v>
      </c>
    </row>
    <row r="50" spans="2:6" x14ac:dyDescent="0.15">
      <c r="B50" s="9" t="s">
        <v>47</v>
      </c>
      <c r="C50" s="9">
        <v>80</v>
      </c>
      <c r="E50" s="9" t="s">
        <v>129</v>
      </c>
      <c r="F50" s="9">
        <v>95</v>
      </c>
    </row>
    <row r="51" spans="2:6" x14ac:dyDescent="0.15">
      <c r="B51" s="9" t="s">
        <v>48</v>
      </c>
      <c r="C51" s="9">
        <v>87</v>
      </c>
      <c r="E51" s="10" t="s">
        <v>130</v>
      </c>
      <c r="F51" s="10">
        <v>115</v>
      </c>
    </row>
    <row r="52" spans="2:6" x14ac:dyDescent="0.15">
      <c r="B52" s="9" t="s">
        <v>49</v>
      </c>
      <c r="C52" s="9">
        <v>90</v>
      </c>
    </row>
    <row r="53" spans="2:6" x14ac:dyDescent="0.15">
      <c r="B53" s="9" t="s">
        <v>50</v>
      </c>
      <c r="C53" s="9">
        <v>95</v>
      </c>
    </row>
    <row r="54" spans="2:6" x14ac:dyDescent="0.15">
      <c r="B54" s="9" t="s">
        <v>51</v>
      </c>
      <c r="C54" s="9">
        <v>95</v>
      </c>
    </row>
    <row r="55" spans="2:6" x14ac:dyDescent="0.15">
      <c r="B55" s="9" t="s">
        <v>52</v>
      </c>
      <c r="C55" s="9">
        <v>95</v>
      </c>
    </row>
    <row r="56" spans="2:6" x14ac:dyDescent="0.15">
      <c r="B56" s="9" t="s">
        <v>53</v>
      </c>
      <c r="C56" s="9">
        <v>97</v>
      </c>
    </row>
    <row r="57" spans="2:6" x14ac:dyDescent="0.15">
      <c r="B57" s="9" t="s">
        <v>54</v>
      </c>
      <c r="C57" s="9">
        <v>99</v>
      </c>
    </row>
    <row r="58" spans="2:6" x14ac:dyDescent="0.15">
      <c r="B58" s="9" t="s">
        <v>55</v>
      </c>
      <c r="C58" s="9">
        <v>100</v>
      </c>
    </row>
    <row r="59" spans="2:6" x14ac:dyDescent="0.15">
      <c r="B59" s="9" t="s">
        <v>56</v>
      </c>
      <c r="C59" s="9">
        <v>105</v>
      </c>
    </row>
    <row r="60" spans="2:6" x14ac:dyDescent="0.15">
      <c r="B60" s="9" t="s">
        <v>57</v>
      </c>
      <c r="C60" s="9">
        <v>110</v>
      </c>
    </row>
    <row r="61" spans="2:6" x14ac:dyDescent="0.15">
      <c r="B61" s="9" t="s">
        <v>58</v>
      </c>
      <c r="C61" s="9">
        <v>110</v>
      </c>
    </row>
    <row r="62" spans="2:6" x14ac:dyDescent="0.15">
      <c r="B62" s="9" t="s">
        <v>59</v>
      </c>
      <c r="C62" s="9">
        <v>115</v>
      </c>
    </row>
    <row r="63" spans="2:6" x14ac:dyDescent="0.15">
      <c r="B63" s="9" t="s">
        <v>60</v>
      </c>
      <c r="C63" s="9">
        <v>125</v>
      </c>
    </row>
    <row r="64" spans="2:6" x14ac:dyDescent="0.15">
      <c r="B64" s="9" t="s">
        <v>61</v>
      </c>
      <c r="C64" s="9">
        <v>130</v>
      </c>
    </row>
    <row r="65" spans="2:3" x14ac:dyDescent="0.15">
      <c r="B65" s="9" t="s">
        <v>62</v>
      </c>
      <c r="C65" s="9">
        <v>130</v>
      </c>
    </row>
    <row r="66" spans="2:3" x14ac:dyDescent="0.15">
      <c r="B66" s="9" t="s">
        <v>63</v>
      </c>
      <c r="C66" s="9">
        <v>135</v>
      </c>
    </row>
    <row r="67" spans="2:3" x14ac:dyDescent="0.15">
      <c r="B67" s="10" t="s">
        <v>64</v>
      </c>
      <c r="C67" s="10">
        <v>145</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9"/>
  <sheetViews>
    <sheetView workbookViewId="0">
      <selection activeCell="M8" sqref="M8"/>
    </sheetView>
  </sheetViews>
  <sheetFormatPr defaultRowHeight="11.25" x14ac:dyDescent="0.15"/>
  <cols>
    <col min="1" max="1" width="3.125" style="1" customWidth="1"/>
    <col min="2" max="2" width="13.125" style="1" customWidth="1"/>
    <col min="3" max="10" width="5.625" style="1" customWidth="1"/>
    <col min="11" max="11" width="3.125" style="1" customWidth="1"/>
    <col min="12" max="16" width="9" style="1"/>
    <col min="17" max="17" width="3.125" style="1" customWidth="1"/>
    <col min="18" max="16384" width="9" style="1"/>
  </cols>
  <sheetData>
    <row r="1" spans="1:17" x14ac:dyDescent="0.15">
      <c r="A1" s="3"/>
      <c r="B1" s="3"/>
      <c r="C1" s="3"/>
      <c r="D1" s="3"/>
      <c r="E1" s="3"/>
      <c r="F1" s="3"/>
      <c r="G1" s="3"/>
      <c r="H1" s="3"/>
      <c r="I1" s="3"/>
      <c r="J1" s="3"/>
      <c r="K1" s="3"/>
      <c r="L1" s="102"/>
      <c r="M1" s="102"/>
      <c r="N1" s="102"/>
      <c r="O1" s="102"/>
      <c r="P1" s="102"/>
      <c r="Q1" s="102"/>
    </row>
    <row r="2" spans="1:17" x14ac:dyDescent="0.15">
      <c r="A2" s="3"/>
      <c r="B2" s="22" t="s">
        <v>219</v>
      </c>
      <c r="C2" s="22" t="s">
        <v>215</v>
      </c>
      <c r="D2" s="22" t="s">
        <v>221</v>
      </c>
      <c r="E2" s="22" t="s">
        <v>222</v>
      </c>
      <c r="F2" s="22" t="s">
        <v>223</v>
      </c>
      <c r="G2" s="22" t="s">
        <v>224</v>
      </c>
      <c r="H2" s="22" t="s">
        <v>208</v>
      </c>
      <c r="I2" s="22" t="s">
        <v>225</v>
      </c>
      <c r="J2" s="22" t="s">
        <v>216</v>
      </c>
      <c r="K2" s="3"/>
      <c r="L2" s="101" t="s">
        <v>590</v>
      </c>
      <c r="M2" s="101">
        <v>0</v>
      </c>
      <c r="N2" s="101">
        <v>1</v>
      </c>
      <c r="O2" s="101">
        <v>2</v>
      </c>
      <c r="P2" s="101">
        <v>3</v>
      </c>
      <c r="Q2" s="102"/>
    </row>
    <row r="3" spans="1:17" x14ac:dyDescent="0.15">
      <c r="A3" s="3"/>
      <c r="B3" s="19" t="s">
        <v>226</v>
      </c>
      <c r="C3" s="9"/>
      <c r="D3" s="9"/>
      <c r="E3" s="9">
        <v>15</v>
      </c>
      <c r="F3" s="9">
        <v>15</v>
      </c>
      <c r="G3" s="9">
        <v>15</v>
      </c>
      <c r="H3" s="9"/>
      <c r="I3" s="9"/>
      <c r="J3" s="20"/>
      <c r="K3" s="3"/>
      <c r="L3" s="100" t="s">
        <v>599</v>
      </c>
      <c r="M3" s="32">
        <v>1</v>
      </c>
      <c r="N3" s="32">
        <f>102/128</f>
        <v>0.796875</v>
      </c>
      <c r="O3" s="32">
        <f>1/2</f>
        <v>0.5</v>
      </c>
      <c r="P3" s="33">
        <v>0</v>
      </c>
      <c r="Q3" s="102"/>
    </row>
    <row r="4" spans="1:17" x14ac:dyDescent="0.15">
      <c r="A4" s="3"/>
      <c r="B4" s="19" t="s">
        <v>227</v>
      </c>
      <c r="C4" s="9"/>
      <c r="D4" s="9"/>
      <c r="E4" s="9">
        <v>8</v>
      </c>
      <c r="F4" s="9">
        <v>8</v>
      </c>
      <c r="G4" s="9">
        <v>8</v>
      </c>
      <c r="H4" s="9">
        <v>8</v>
      </c>
      <c r="I4" s="9">
        <v>8</v>
      </c>
      <c r="J4" s="20"/>
      <c r="K4" s="3"/>
      <c r="L4" s="100" t="s">
        <v>589</v>
      </c>
      <c r="M4" s="32">
        <v>1</v>
      </c>
      <c r="N4" s="32">
        <f>102/128</f>
        <v>0.796875</v>
      </c>
      <c r="O4" s="32">
        <f>1/2</f>
        <v>0.5</v>
      </c>
      <c r="P4" s="33">
        <v>0</v>
      </c>
      <c r="Q4" s="102"/>
    </row>
    <row r="5" spans="1:17" x14ac:dyDescent="0.15">
      <c r="A5" s="3"/>
      <c r="B5" s="19" t="s">
        <v>468</v>
      </c>
      <c r="C5" s="9">
        <v>10</v>
      </c>
      <c r="D5" s="9">
        <v>10</v>
      </c>
      <c r="E5" s="9"/>
      <c r="F5" s="9"/>
      <c r="G5" s="9"/>
      <c r="H5" s="9"/>
      <c r="I5" s="9"/>
      <c r="J5" s="20"/>
      <c r="K5" s="3"/>
      <c r="L5" s="100" t="s">
        <v>588</v>
      </c>
      <c r="M5" s="32">
        <v>1</v>
      </c>
      <c r="N5" s="32">
        <f>89/128</f>
        <v>0.6953125</v>
      </c>
      <c r="O5" s="32">
        <f>51/128</f>
        <v>0.3984375</v>
      </c>
      <c r="P5" s="33">
        <v>0</v>
      </c>
      <c r="Q5" s="102"/>
    </row>
    <row r="6" spans="1:17" x14ac:dyDescent="0.15">
      <c r="A6" s="3"/>
      <c r="B6" s="19" t="s">
        <v>228</v>
      </c>
      <c r="C6" s="9"/>
      <c r="D6" s="9"/>
      <c r="E6" s="9">
        <v>10</v>
      </c>
      <c r="F6" s="9">
        <v>10</v>
      </c>
      <c r="G6" s="9">
        <v>10</v>
      </c>
      <c r="H6" s="9">
        <v>10</v>
      </c>
      <c r="I6" s="9">
        <v>10</v>
      </c>
      <c r="J6" s="20"/>
      <c r="K6" s="3"/>
      <c r="L6" s="110" t="s">
        <v>591</v>
      </c>
      <c r="M6" s="29">
        <f>3/4</f>
        <v>0.75</v>
      </c>
      <c r="N6" s="29">
        <f>1/2</f>
        <v>0.5</v>
      </c>
      <c r="O6" s="29">
        <f>1/5</f>
        <v>0.2</v>
      </c>
      <c r="P6" s="30">
        <f>0</f>
        <v>0</v>
      </c>
      <c r="Q6" s="102"/>
    </row>
    <row r="7" spans="1:17" x14ac:dyDescent="0.15">
      <c r="A7" s="3"/>
      <c r="B7" s="19" t="s">
        <v>229</v>
      </c>
      <c r="C7" s="9"/>
      <c r="D7" s="9"/>
      <c r="E7" s="9">
        <v>10</v>
      </c>
      <c r="F7" s="9">
        <v>10</v>
      </c>
      <c r="G7" s="9">
        <v>10</v>
      </c>
      <c r="H7" s="9">
        <v>10</v>
      </c>
      <c r="I7" s="9">
        <v>10</v>
      </c>
      <c r="J7" s="20"/>
      <c r="K7" s="3"/>
      <c r="L7" s="110" t="s">
        <v>599</v>
      </c>
      <c r="M7" s="29">
        <f>3/4</f>
        <v>0.75</v>
      </c>
      <c r="N7" s="29">
        <f>1/2</f>
        <v>0.5</v>
      </c>
      <c r="O7" s="29">
        <f>1/5</f>
        <v>0.2</v>
      </c>
      <c r="P7" s="30">
        <f>0</f>
        <v>0</v>
      </c>
      <c r="Q7" s="102"/>
    </row>
    <row r="8" spans="1:17" x14ac:dyDescent="0.15">
      <c r="A8" s="3"/>
      <c r="B8" s="19" t="s">
        <v>230</v>
      </c>
      <c r="C8" s="9">
        <v>15</v>
      </c>
      <c r="D8" s="9"/>
      <c r="E8" s="9"/>
      <c r="F8" s="9"/>
      <c r="G8" s="9"/>
      <c r="H8" s="9"/>
      <c r="I8" s="9"/>
      <c r="J8" s="20"/>
      <c r="K8" s="3"/>
      <c r="L8" s="100" t="s">
        <v>592</v>
      </c>
      <c r="M8" s="32">
        <f>166/128</f>
        <v>1.296875</v>
      </c>
      <c r="N8" s="32">
        <f>294/256</f>
        <v>1.1484375</v>
      </c>
      <c r="O8" s="32">
        <f>3/4</f>
        <v>0.75</v>
      </c>
      <c r="P8" s="37">
        <f>38/128</f>
        <v>0.296875</v>
      </c>
      <c r="Q8" s="102"/>
    </row>
    <row r="9" spans="1:17" x14ac:dyDescent="0.15">
      <c r="A9" s="3"/>
      <c r="B9" s="19" t="s">
        <v>231</v>
      </c>
      <c r="C9" s="9">
        <v>30</v>
      </c>
      <c r="D9" s="9"/>
      <c r="E9" s="9">
        <v>30</v>
      </c>
      <c r="F9" s="9">
        <v>30</v>
      </c>
      <c r="G9" s="9">
        <v>30</v>
      </c>
      <c r="H9" s="9"/>
      <c r="I9" s="9"/>
      <c r="J9" s="20"/>
      <c r="K9" s="3"/>
      <c r="L9" s="101" t="s">
        <v>590</v>
      </c>
      <c r="M9" s="101">
        <v>0</v>
      </c>
      <c r="N9" s="101">
        <v>1</v>
      </c>
      <c r="O9" s="101">
        <v>2</v>
      </c>
      <c r="P9" s="101">
        <v>3</v>
      </c>
      <c r="Q9" s="102"/>
    </row>
    <row r="10" spans="1:17" x14ac:dyDescent="0.15">
      <c r="A10" s="3"/>
      <c r="B10" s="19" t="s">
        <v>232</v>
      </c>
      <c r="C10" s="9"/>
      <c r="D10" s="9"/>
      <c r="E10" s="9">
        <v>15</v>
      </c>
      <c r="F10" s="9">
        <v>15</v>
      </c>
      <c r="G10" s="9">
        <v>15</v>
      </c>
      <c r="H10" s="9">
        <v>15</v>
      </c>
      <c r="I10" s="9">
        <v>15</v>
      </c>
      <c r="J10" s="20"/>
      <c r="K10" s="3"/>
      <c r="L10" s="102"/>
      <c r="M10" s="102"/>
      <c r="N10" s="102"/>
      <c r="O10" s="102"/>
      <c r="P10" s="102"/>
      <c r="Q10" s="102"/>
    </row>
    <row r="11" spans="1:17" x14ac:dyDescent="0.15">
      <c r="A11" s="3"/>
      <c r="B11" s="19" t="s">
        <v>233</v>
      </c>
      <c r="C11" s="9"/>
      <c r="D11" s="9">
        <v>20</v>
      </c>
      <c r="E11" s="9"/>
      <c r="F11" s="9"/>
      <c r="G11" s="9"/>
      <c r="H11" s="9">
        <v>20</v>
      </c>
      <c r="I11" s="9"/>
      <c r="J11" s="20"/>
      <c r="K11" s="3"/>
    </row>
    <row r="12" spans="1:17" x14ac:dyDescent="0.15">
      <c r="A12" s="3"/>
      <c r="B12" s="19" t="s">
        <v>234</v>
      </c>
      <c r="C12" s="9">
        <v>35</v>
      </c>
      <c r="D12" s="9"/>
      <c r="E12" s="9">
        <v>35</v>
      </c>
      <c r="F12" s="9">
        <v>35</v>
      </c>
      <c r="G12" s="9">
        <v>35</v>
      </c>
      <c r="H12" s="9"/>
      <c r="I12" s="9"/>
      <c r="J12" s="20"/>
      <c r="K12" s="3"/>
    </row>
    <row r="13" spans="1:17" x14ac:dyDescent="0.15">
      <c r="A13" s="3"/>
      <c r="B13" s="19" t="s">
        <v>235</v>
      </c>
      <c r="C13" s="9">
        <v>15</v>
      </c>
      <c r="D13" s="9"/>
      <c r="E13" s="9">
        <v>15</v>
      </c>
      <c r="F13" s="9">
        <v>15</v>
      </c>
      <c r="G13" s="9">
        <v>15</v>
      </c>
      <c r="H13" s="9"/>
      <c r="I13" s="9"/>
      <c r="J13" s="20"/>
      <c r="K13" s="3"/>
    </row>
    <row r="14" spans="1:17" x14ac:dyDescent="0.15">
      <c r="A14" s="3"/>
      <c r="B14" s="19" t="s">
        <v>236</v>
      </c>
      <c r="C14" s="9"/>
      <c r="D14" s="9"/>
      <c r="E14" s="9">
        <v>30</v>
      </c>
      <c r="F14" s="9">
        <v>30</v>
      </c>
      <c r="G14" s="9">
        <v>30</v>
      </c>
      <c r="H14" s="9">
        <v>30</v>
      </c>
      <c r="I14" s="9">
        <v>30</v>
      </c>
      <c r="J14" s="20"/>
      <c r="K14" s="3"/>
    </row>
    <row r="15" spans="1:17" x14ac:dyDescent="0.15">
      <c r="A15" s="3"/>
      <c r="B15" s="19" t="s">
        <v>237</v>
      </c>
      <c r="C15" s="9">
        <v>15</v>
      </c>
      <c r="D15" s="9">
        <v>15</v>
      </c>
      <c r="E15" s="9"/>
      <c r="F15" s="9"/>
      <c r="G15" s="9"/>
      <c r="H15" s="9"/>
      <c r="I15" s="9"/>
      <c r="J15" s="20"/>
      <c r="K15" s="3"/>
    </row>
    <row r="16" spans="1:17" x14ac:dyDescent="0.15">
      <c r="A16" s="3"/>
      <c r="B16" s="19" t="s">
        <v>238</v>
      </c>
      <c r="C16" s="9">
        <v>30</v>
      </c>
      <c r="D16" s="9">
        <v>30</v>
      </c>
      <c r="E16" s="9">
        <v>30</v>
      </c>
      <c r="F16" s="9">
        <v>30</v>
      </c>
      <c r="G16" s="9">
        <v>30</v>
      </c>
      <c r="H16" s="9"/>
      <c r="I16" s="9"/>
      <c r="J16" s="20"/>
      <c r="K16" s="3"/>
    </row>
    <row r="17" spans="1:11" x14ac:dyDescent="0.15">
      <c r="A17" s="3"/>
      <c r="B17" s="19" t="s">
        <v>239</v>
      </c>
      <c r="C17" s="9">
        <v>25</v>
      </c>
      <c r="D17" s="9">
        <v>25</v>
      </c>
      <c r="E17" s="9"/>
      <c r="F17" s="9"/>
      <c r="G17" s="9"/>
      <c r="H17" s="9"/>
      <c r="I17" s="9"/>
      <c r="J17" s="20"/>
      <c r="K17" s="3"/>
    </row>
    <row r="18" spans="1:11" x14ac:dyDescent="0.15">
      <c r="A18" s="3"/>
      <c r="B18" s="19" t="s">
        <v>240</v>
      </c>
      <c r="C18" s="9">
        <v>4</v>
      </c>
      <c r="D18" s="9">
        <v>4</v>
      </c>
      <c r="E18" s="9"/>
      <c r="F18" s="9"/>
      <c r="G18" s="9"/>
      <c r="H18" s="9"/>
      <c r="I18" s="9"/>
      <c r="J18" s="20"/>
      <c r="K18" s="3"/>
    </row>
    <row r="19" spans="1:11" x14ac:dyDescent="0.15">
      <c r="A19" s="3"/>
      <c r="B19" s="19" t="s">
        <v>241</v>
      </c>
      <c r="C19" s="9"/>
      <c r="D19" s="9"/>
      <c r="E19" s="9">
        <v>8</v>
      </c>
      <c r="F19" s="9">
        <v>8</v>
      </c>
      <c r="G19" s="9">
        <v>8</v>
      </c>
      <c r="H19" s="9"/>
      <c r="I19" s="9"/>
      <c r="J19" s="20"/>
      <c r="K19" s="3"/>
    </row>
    <row r="20" spans="1:11" x14ac:dyDescent="0.15">
      <c r="A20" s="3"/>
      <c r="B20" s="19" t="s">
        <v>242</v>
      </c>
      <c r="C20" s="9">
        <v>10</v>
      </c>
      <c r="D20" s="9"/>
      <c r="E20" s="9">
        <v>10</v>
      </c>
      <c r="F20" s="9">
        <v>10</v>
      </c>
      <c r="G20" s="9">
        <v>10</v>
      </c>
      <c r="H20" s="9"/>
      <c r="I20" s="9"/>
      <c r="J20" s="20"/>
      <c r="K20" s="3"/>
    </row>
    <row r="21" spans="1:11" x14ac:dyDescent="0.15">
      <c r="A21" s="3"/>
      <c r="B21" s="19" t="s">
        <v>243</v>
      </c>
      <c r="C21" s="9">
        <v>15</v>
      </c>
      <c r="D21" s="9">
        <v>15</v>
      </c>
      <c r="E21" s="9"/>
      <c r="F21" s="9"/>
      <c r="G21" s="9"/>
      <c r="H21" s="9"/>
      <c r="I21" s="9"/>
      <c r="J21" s="20"/>
      <c r="K21" s="3"/>
    </row>
    <row r="22" spans="1:11" x14ac:dyDescent="0.15">
      <c r="A22" s="3"/>
      <c r="B22" s="19" t="s">
        <v>244</v>
      </c>
      <c r="C22" s="9"/>
      <c r="D22" s="9">
        <v>20</v>
      </c>
      <c r="E22" s="9"/>
      <c r="F22" s="9"/>
      <c r="G22" s="9"/>
      <c r="H22" s="9">
        <v>20</v>
      </c>
      <c r="I22" s="9"/>
      <c r="J22" s="20"/>
      <c r="K22" s="3"/>
    </row>
    <row r="23" spans="1:11" x14ac:dyDescent="0.15">
      <c r="A23" s="3"/>
      <c r="B23" s="19" t="s">
        <v>245</v>
      </c>
      <c r="C23" s="9">
        <v>10</v>
      </c>
      <c r="D23" s="9">
        <v>10</v>
      </c>
      <c r="E23" s="9"/>
      <c r="F23" s="9"/>
      <c r="G23" s="9"/>
      <c r="H23" s="9"/>
      <c r="I23" s="9"/>
      <c r="J23" s="20"/>
      <c r="K23" s="3"/>
    </row>
    <row r="24" spans="1:11" x14ac:dyDescent="0.15">
      <c r="A24" s="3"/>
      <c r="B24" s="19" t="s">
        <v>246</v>
      </c>
      <c r="C24" s="9">
        <v>25</v>
      </c>
      <c r="D24" s="9"/>
      <c r="E24" s="9">
        <v>25</v>
      </c>
      <c r="F24" s="9">
        <v>25</v>
      </c>
      <c r="G24" s="9">
        <v>25</v>
      </c>
      <c r="H24" s="9"/>
      <c r="I24" s="9"/>
      <c r="J24" s="20"/>
      <c r="K24" s="3"/>
    </row>
    <row r="25" spans="1:11" x14ac:dyDescent="0.15">
      <c r="A25" s="3"/>
      <c r="B25" s="19" t="s">
        <v>247</v>
      </c>
      <c r="C25" s="9">
        <v>15</v>
      </c>
      <c r="D25" s="9"/>
      <c r="E25" s="9">
        <v>15</v>
      </c>
      <c r="F25" s="9">
        <v>15</v>
      </c>
      <c r="G25" s="9">
        <v>15</v>
      </c>
      <c r="H25" s="9"/>
      <c r="I25" s="9"/>
      <c r="J25" s="20"/>
      <c r="K25" s="3"/>
    </row>
    <row r="26" spans="1:11" x14ac:dyDescent="0.15">
      <c r="A26" s="3"/>
      <c r="B26" s="19" t="s">
        <v>248</v>
      </c>
      <c r="C26" s="9"/>
      <c r="D26" s="9">
        <v>30</v>
      </c>
      <c r="E26" s="9"/>
      <c r="F26" s="9"/>
      <c r="G26" s="9"/>
      <c r="H26" s="9">
        <v>30</v>
      </c>
      <c r="I26" s="9"/>
      <c r="J26" s="20"/>
      <c r="K26" s="3"/>
    </row>
    <row r="27" spans="1:11" x14ac:dyDescent="0.15">
      <c r="A27" s="3"/>
      <c r="B27" s="19" t="s">
        <v>249</v>
      </c>
      <c r="C27" s="9">
        <v>30</v>
      </c>
      <c r="D27" s="9">
        <v>30</v>
      </c>
      <c r="E27" s="9">
        <v>30</v>
      </c>
      <c r="F27" s="9">
        <v>30</v>
      </c>
      <c r="G27" s="9">
        <v>30</v>
      </c>
      <c r="H27" s="9"/>
      <c r="I27" s="9"/>
      <c r="J27" s="20"/>
      <c r="K27" s="3"/>
    </row>
    <row r="28" spans="1:11" x14ac:dyDescent="0.15">
      <c r="A28" s="3"/>
      <c r="B28" s="21" t="s">
        <v>219</v>
      </c>
      <c r="C28" s="21" t="s">
        <v>215</v>
      </c>
      <c r="D28" s="21" t="s">
        <v>221</v>
      </c>
      <c r="E28" s="21" t="s">
        <v>222</v>
      </c>
      <c r="F28" s="21" t="s">
        <v>223</v>
      </c>
      <c r="G28" s="21" t="s">
        <v>224</v>
      </c>
      <c r="H28" s="21" t="s">
        <v>208</v>
      </c>
      <c r="I28" s="21" t="s">
        <v>225</v>
      </c>
      <c r="J28" s="21" t="s">
        <v>216</v>
      </c>
      <c r="K28" s="3"/>
    </row>
    <row r="29" spans="1:11" x14ac:dyDescent="0.15">
      <c r="A29" s="3"/>
      <c r="B29" s="3"/>
      <c r="C29" s="3"/>
      <c r="D29" s="3"/>
      <c r="E29" s="3"/>
      <c r="F29" s="3"/>
      <c r="G29" s="3"/>
      <c r="H29" s="3"/>
      <c r="I29" s="3"/>
      <c r="J29" s="3"/>
      <c r="K29" s="3"/>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4"/>
  <sheetViews>
    <sheetView topLeftCell="A15" workbookViewId="0">
      <selection activeCell="F54" sqref="F53:F54"/>
    </sheetView>
  </sheetViews>
  <sheetFormatPr defaultRowHeight="11.25" x14ac:dyDescent="0.15"/>
  <cols>
    <col min="1" max="1" width="1.625" style="1" customWidth="1"/>
    <col min="2" max="2" width="15.875" style="1" customWidth="1"/>
    <col min="3" max="8" width="5.625" style="1" customWidth="1"/>
    <col min="9" max="12" width="4.625" style="1" customWidth="1"/>
    <col min="13" max="16384" width="9" style="1"/>
  </cols>
  <sheetData>
    <row r="2" spans="2:12" x14ac:dyDescent="0.15">
      <c r="B2" s="293" t="s">
        <v>198</v>
      </c>
      <c r="C2" s="295" t="s">
        <v>199</v>
      </c>
      <c r="D2" s="295" t="s">
        <v>200</v>
      </c>
      <c r="E2" s="296" t="s">
        <v>201</v>
      </c>
      <c r="F2" s="297"/>
      <c r="G2" s="297"/>
      <c r="H2" s="298"/>
      <c r="I2" s="291" t="s">
        <v>218</v>
      </c>
      <c r="J2" s="292"/>
      <c r="K2" s="292"/>
      <c r="L2" s="292"/>
    </row>
    <row r="3" spans="2:12" x14ac:dyDescent="0.15">
      <c r="B3" s="294"/>
      <c r="C3" s="253"/>
      <c r="D3" s="253"/>
      <c r="E3" s="299"/>
      <c r="F3" s="300"/>
      <c r="G3" s="300"/>
      <c r="H3" s="301"/>
      <c r="I3" s="40">
        <v>1</v>
      </c>
      <c r="J3" s="40">
        <v>2</v>
      </c>
      <c r="K3" s="40">
        <v>3</v>
      </c>
      <c r="L3" s="40">
        <v>4</v>
      </c>
    </row>
    <row r="4" spans="2:12" x14ac:dyDescent="0.15">
      <c r="B4" s="9" t="s">
        <v>202</v>
      </c>
      <c r="C4" s="9">
        <v>0</v>
      </c>
      <c r="D4" s="9">
        <v>0</v>
      </c>
      <c r="E4" s="9" t="s">
        <v>203</v>
      </c>
      <c r="F4" s="9" t="s">
        <v>204</v>
      </c>
      <c r="G4" s="9" t="s">
        <v>602</v>
      </c>
      <c r="H4" s="9" t="s">
        <v>680</v>
      </c>
      <c r="I4" s="9">
        <v>1</v>
      </c>
      <c r="J4" s="9">
        <v>1</v>
      </c>
      <c r="K4" s="9">
        <v>1</v>
      </c>
      <c r="L4" s="9">
        <v>1</v>
      </c>
    </row>
    <row r="5" spans="2:12" x14ac:dyDescent="0.15">
      <c r="B5" s="9" t="s">
        <v>481</v>
      </c>
      <c r="C5" s="9">
        <v>0</v>
      </c>
      <c r="D5" s="9">
        <v>0</v>
      </c>
      <c r="E5" s="9" t="s">
        <v>203</v>
      </c>
      <c r="F5" s="9" t="s">
        <v>204</v>
      </c>
      <c r="G5" s="9" t="s">
        <v>603</v>
      </c>
      <c r="H5" s="9" t="s">
        <v>680</v>
      </c>
      <c r="I5" s="9">
        <f>160/128</f>
        <v>1.25</v>
      </c>
      <c r="J5" s="9">
        <v>1.25</v>
      </c>
      <c r="K5" s="9">
        <v>1.25</v>
      </c>
      <c r="L5" s="9">
        <v>1.25</v>
      </c>
    </row>
    <row r="6" spans="2:12" x14ac:dyDescent="0.15">
      <c r="B6" s="9" t="s">
        <v>528</v>
      </c>
      <c r="C6" s="9">
        <v>0</v>
      </c>
      <c r="D6" s="9">
        <v>0</v>
      </c>
      <c r="E6" s="9" t="s">
        <v>203</v>
      </c>
      <c r="F6" s="9" t="s">
        <v>204</v>
      </c>
      <c r="G6" s="9" t="s">
        <v>603</v>
      </c>
      <c r="H6" s="9" t="s">
        <v>680</v>
      </c>
      <c r="I6" s="9">
        <v>2.5</v>
      </c>
      <c r="J6" s="9">
        <v>2.5</v>
      </c>
      <c r="K6" s="9">
        <v>2.5</v>
      </c>
      <c r="L6" s="9">
        <v>2.5</v>
      </c>
    </row>
    <row r="7" spans="2:12" x14ac:dyDescent="0.15">
      <c r="B7" s="9" t="s">
        <v>527</v>
      </c>
      <c r="C7" s="9">
        <v>185</v>
      </c>
      <c r="D7" s="9">
        <v>209</v>
      </c>
      <c r="E7" s="9" t="s">
        <v>203</v>
      </c>
      <c r="F7" s="9" t="s">
        <v>580</v>
      </c>
      <c r="G7" s="9" t="s">
        <v>604</v>
      </c>
      <c r="H7" s="9" t="s">
        <v>680</v>
      </c>
      <c r="I7" s="9">
        <v>1</v>
      </c>
      <c r="J7" s="9">
        <v>1</v>
      </c>
      <c r="K7" s="9">
        <v>1</v>
      </c>
      <c r="L7" s="9">
        <v>1</v>
      </c>
    </row>
    <row r="8" spans="2:12" x14ac:dyDescent="0.15">
      <c r="B8" s="9" t="s">
        <v>505</v>
      </c>
      <c r="C8" s="9">
        <v>0</v>
      </c>
      <c r="D8" s="9">
        <v>0</v>
      </c>
      <c r="E8" s="9" t="s">
        <v>203</v>
      </c>
      <c r="F8" s="9" t="s">
        <v>204</v>
      </c>
      <c r="G8" s="9" t="s">
        <v>605</v>
      </c>
      <c r="H8" s="9" t="s">
        <v>680</v>
      </c>
      <c r="I8" s="9">
        <f t="shared" ref="I8:L8" si="0">102/128</f>
        <v>0.796875</v>
      </c>
      <c r="J8" s="9">
        <f t="shared" si="0"/>
        <v>0.796875</v>
      </c>
      <c r="K8" s="9">
        <f t="shared" si="0"/>
        <v>0.796875</v>
      </c>
      <c r="L8" s="9">
        <f t="shared" si="0"/>
        <v>0.796875</v>
      </c>
    </row>
    <row r="9" spans="2:12" x14ac:dyDescent="0.15">
      <c r="B9" s="9" t="s">
        <v>482</v>
      </c>
      <c r="C9" s="9">
        <v>0</v>
      </c>
      <c r="D9" s="9">
        <v>0</v>
      </c>
      <c r="E9" s="9" t="s">
        <v>327</v>
      </c>
      <c r="F9" s="9" t="s">
        <v>595</v>
      </c>
      <c r="G9" s="9" t="s">
        <v>603</v>
      </c>
      <c r="H9" s="9" t="s">
        <v>680</v>
      </c>
      <c r="I9" s="9">
        <v>1</v>
      </c>
      <c r="J9" s="9">
        <v>1</v>
      </c>
      <c r="K9" s="9">
        <v>1</v>
      </c>
      <c r="L9" s="9">
        <v>1</v>
      </c>
    </row>
    <row r="10" spans="2:12" x14ac:dyDescent="0.15">
      <c r="B10" s="9" t="s">
        <v>483</v>
      </c>
      <c r="C10" s="9">
        <v>0</v>
      </c>
      <c r="D10" s="9">
        <v>0</v>
      </c>
      <c r="E10" s="9" t="s">
        <v>462</v>
      </c>
      <c r="F10" s="9" t="s">
        <v>595</v>
      </c>
      <c r="G10" s="9" t="s">
        <v>603</v>
      </c>
      <c r="H10" s="9" t="s">
        <v>680</v>
      </c>
      <c r="I10" s="9">
        <v>1</v>
      </c>
      <c r="J10" s="9">
        <v>1</v>
      </c>
      <c r="K10" s="9">
        <v>1</v>
      </c>
      <c r="L10" s="9">
        <v>1</v>
      </c>
    </row>
    <row r="11" spans="2:12" x14ac:dyDescent="0.15">
      <c r="B11" s="9" t="s">
        <v>485</v>
      </c>
      <c r="C11" s="9">
        <v>0</v>
      </c>
      <c r="D11" s="9">
        <v>0</v>
      </c>
      <c r="E11" s="9" t="s">
        <v>203</v>
      </c>
      <c r="F11" s="9" t="s">
        <v>204</v>
      </c>
      <c r="G11" s="9" t="s">
        <v>603</v>
      </c>
      <c r="H11" s="9" t="s">
        <v>679</v>
      </c>
      <c r="I11" s="9">
        <v>0.5</v>
      </c>
      <c r="J11" s="9">
        <v>0.5</v>
      </c>
      <c r="K11" s="9">
        <v>0.5</v>
      </c>
      <c r="L11" s="9">
        <v>0.5</v>
      </c>
    </row>
    <row r="12" spans="2:12" x14ac:dyDescent="0.15">
      <c r="B12" s="9" t="s">
        <v>486</v>
      </c>
      <c r="C12" s="9">
        <v>0</v>
      </c>
      <c r="D12" s="9">
        <v>0</v>
      </c>
      <c r="E12" s="9" t="s">
        <v>203</v>
      </c>
      <c r="F12" s="9" t="s">
        <v>204</v>
      </c>
      <c r="G12" s="9" t="s">
        <v>603</v>
      </c>
      <c r="H12" s="9" t="s">
        <v>679</v>
      </c>
      <c r="I12" s="9">
        <v>0.5</v>
      </c>
      <c r="J12" s="9">
        <v>0.5</v>
      </c>
      <c r="K12" s="9">
        <v>0.5</v>
      </c>
      <c r="L12" s="9">
        <v>0.5</v>
      </c>
    </row>
    <row r="13" spans="2:12" x14ac:dyDescent="0.15">
      <c r="B13" s="9" t="s">
        <v>484</v>
      </c>
      <c r="C13" s="9">
        <v>0</v>
      </c>
      <c r="D13" s="9">
        <v>0</v>
      </c>
      <c r="E13" s="9" t="s">
        <v>203</v>
      </c>
      <c r="F13" s="9" t="s">
        <v>204</v>
      </c>
      <c r="G13" s="9" t="s">
        <v>603</v>
      </c>
      <c r="H13" s="9" t="s">
        <v>681</v>
      </c>
      <c r="I13" s="9">
        <v>0.5</v>
      </c>
      <c r="J13" s="9">
        <v>0.5</v>
      </c>
      <c r="K13" s="9">
        <v>0.5</v>
      </c>
      <c r="L13" s="9">
        <v>0.5</v>
      </c>
    </row>
    <row r="14" spans="2:12" x14ac:dyDescent="0.15">
      <c r="B14" s="9" t="s">
        <v>504</v>
      </c>
      <c r="C14" s="9">
        <v>0</v>
      </c>
      <c r="D14" s="9">
        <v>0</v>
      </c>
      <c r="E14" s="9" t="s">
        <v>203</v>
      </c>
      <c r="F14" s="9" t="s">
        <v>204</v>
      </c>
      <c r="G14" s="9" t="s">
        <v>601</v>
      </c>
      <c r="H14" s="9" t="s">
        <v>680</v>
      </c>
      <c r="I14" s="9">
        <v>0.5</v>
      </c>
      <c r="J14" s="9">
        <v>0.5</v>
      </c>
      <c r="K14" s="9">
        <v>0.5</v>
      </c>
      <c r="L14" s="9">
        <v>0.5</v>
      </c>
    </row>
    <row r="15" spans="2:12" x14ac:dyDescent="0.15">
      <c r="B15" s="9" t="s">
        <v>503</v>
      </c>
      <c r="C15" s="9">
        <v>0</v>
      </c>
      <c r="D15" s="9">
        <v>0</v>
      </c>
      <c r="E15" s="9" t="s">
        <v>203</v>
      </c>
      <c r="F15" s="9" t="s">
        <v>204</v>
      </c>
      <c r="G15" s="9" t="s">
        <v>613</v>
      </c>
      <c r="H15" s="9" t="s">
        <v>680</v>
      </c>
      <c r="I15" s="9">
        <v>2</v>
      </c>
      <c r="J15" s="9">
        <v>2</v>
      </c>
      <c r="K15" s="9">
        <v>2</v>
      </c>
      <c r="L15" s="9">
        <v>2</v>
      </c>
    </row>
    <row r="16" spans="2:12" x14ac:dyDescent="0.15">
      <c r="B16" s="9" t="s">
        <v>210</v>
      </c>
      <c r="C16" s="9">
        <v>0</v>
      </c>
      <c r="D16" s="9">
        <v>0</v>
      </c>
      <c r="E16" s="9" t="s">
        <v>203</v>
      </c>
      <c r="F16" s="9" t="s">
        <v>204</v>
      </c>
      <c r="G16" s="9" t="s">
        <v>217</v>
      </c>
      <c r="H16" s="9" t="s">
        <v>680</v>
      </c>
      <c r="I16" s="9">
        <v>2</v>
      </c>
      <c r="J16" s="9">
        <v>2</v>
      </c>
      <c r="K16" s="9">
        <v>2</v>
      </c>
      <c r="L16" s="9">
        <v>2</v>
      </c>
    </row>
    <row r="17" spans="2:12" x14ac:dyDescent="0.15">
      <c r="B17" s="9" t="s">
        <v>506</v>
      </c>
      <c r="C17" s="9">
        <v>0</v>
      </c>
      <c r="D17" s="9">
        <v>0</v>
      </c>
      <c r="E17" s="9" t="s">
        <v>203</v>
      </c>
      <c r="F17" s="9" t="s">
        <v>204</v>
      </c>
      <c r="G17" s="9" t="s">
        <v>600</v>
      </c>
      <c r="H17" s="9" t="s">
        <v>679</v>
      </c>
      <c r="I17" s="9">
        <v>1</v>
      </c>
      <c r="J17" s="9">
        <f>102/128</f>
        <v>0.796875</v>
      </c>
      <c r="K17" s="9">
        <f>89/128</f>
        <v>0.6953125</v>
      </c>
      <c r="L17" s="9">
        <v>0.5</v>
      </c>
    </row>
    <row r="18" spans="2:12" x14ac:dyDescent="0.15">
      <c r="B18" s="9" t="s">
        <v>487</v>
      </c>
      <c r="C18" s="9">
        <v>0</v>
      </c>
      <c r="D18" s="9">
        <v>0</v>
      </c>
      <c r="E18" s="9" t="s">
        <v>203</v>
      </c>
      <c r="F18" s="9" t="s">
        <v>204</v>
      </c>
      <c r="G18" s="9" t="s">
        <v>606</v>
      </c>
      <c r="H18" s="9" t="s">
        <v>679</v>
      </c>
      <c r="I18" s="9">
        <v>1.5</v>
      </c>
      <c r="J18" s="9">
        <v>1</v>
      </c>
      <c r="K18" s="9">
        <v>0.75</v>
      </c>
      <c r="L18" s="9">
        <f>76/128</f>
        <v>0.59375</v>
      </c>
    </row>
    <row r="19" spans="2:12" x14ac:dyDescent="0.15">
      <c r="B19" s="9" t="s">
        <v>534</v>
      </c>
      <c r="C19" s="9">
        <v>46</v>
      </c>
      <c r="D19" s="9">
        <v>63</v>
      </c>
      <c r="E19" s="9" t="s">
        <v>462</v>
      </c>
      <c r="F19" s="9" t="s">
        <v>588</v>
      </c>
      <c r="G19" s="9" t="s">
        <v>607</v>
      </c>
      <c r="H19" s="9" t="s">
        <v>680</v>
      </c>
      <c r="I19" s="9">
        <v>1</v>
      </c>
      <c r="J19" s="9">
        <v>1</v>
      </c>
      <c r="K19" s="9">
        <v>1</v>
      </c>
      <c r="L19" s="9">
        <v>1</v>
      </c>
    </row>
    <row r="20" spans="2:12" x14ac:dyDescent="0.15">
      <c r="B20" s="9" t="s">
        <v>529</v>
      </c>
      <c r="C20" s="9">
        <v>85</v>
      </c>
      <c r="D20" s="9">
        <v>115</v>
      </c>
      <c r="E20" s="9" t="s">
        <v>462</v>
      </c>
      <c r="F20" s="9" t="s">
        <v>588</v>
      </c>
      <c r="G20" s="9" t="s">
        <v>608</v>
      </c>
      <c r="H20" s="9" t="s">
        <v>680</v>
      </c>
      <c r="I20" s="9">
        <v>1</v>
      </c>
      <c r="J20" s="9">
        <v>1</v>
      </c>
      <c r="K20" s="9">
        <v>1</v>
      </c>
      <c r="L20" s="9">
        <v>1</v>
      </c>
    </row>
    <row r="21" spans="2:12" x14ac:dyDescent="0.15">
      <c r="B21" s="9" t="s">
        <v>533</v>
      </c>
      <c r="C21" s="9">
        <v>136</v>
      </c>
      <c r="D21" s="9">
        <v>184</v>
      </c>
      <c r="E21" s="9" t="s">
        <v>462</v>
      </c>
      <c r="F21" s="9" t="s">
        <v>588</v>
      </c>
      <c r="G21" s="9" t="s">
        <v>609</v>
      </c>
      <c r="H21" s="9" t="s">
        <v>680</v>
      </c>
      <c r="I21" s="9">
        <v>1</v>
      </c>
      <c r="J21" s="9">
        <v>1</v>
      </c>
      <c r="K21" s="9">
        <v>1</v>
      </c>
      <c r="L21" s="9">
        <v>1</v>
      </c>
    </row>
    <row r="22" spans="2:12" x14ac:dyDescent="0.15">
      <c r="B22" s="9" t="s">
        <v>531</v>
      </c>
      <c r="C22" s="9">
        <v>36</v>
      </c>
      <c r="D22" s="9">
        <v>44</v>
      </c>
      <c r="E22" s="9" t="s">
        <v>462</v>
      </c>
      <c r="F22" s="9" t="s">
        <v>588</v>
      </c>
      <c r="G22" s="9" t="s">
        <v>205</v>
      </c>
      <c r="H22" s="9" t="s">
        <v>679</v>
      </c>
      <c r="I22" s="9">
        <v>1</v>
      </c>
      <c r="J22" s="9">
        <v>1</v>
      </c>
      <c r="K22" s="9">
        <v>1</v>
      </c>
      <c r="L22" s="9">
        <v>1</v>
      </c>
    </row>
    <row r="23" spans="2:12" x14ac:dyDescent="0.15">
      <c r="B23" s="9" t="s">
        <v>530</v>
      </c>
      <c r="C23" s="9">
        <v>28</v>
      </c>
      <c r="D23" s="9">
        <v>35</v>
      </c>
      <c r="E23" s="9" t="s">
        <v>462</v>
      </c>
      <c r="F23" s="9" t="s">
        <v>588</v>
      </c>
      <c r="G23" s="9" t="s">
        <v>205</v>
      </c>
      <c r="H23" s="9" t="s">
        <v>679</v>
      </c>
      <c r="I23" s="9">
        <v>1</v>
      </c>
      <c r="J23" s="9">
        <v>1</v>
      </c>
      <c r="K23" s="9">
        <v>1</v>
      </c>
      <c r="L23" s="9">
        <v>1</v>
      </c>
    </row>
    <row r="24" spans="2:12" x14ac:dyDescent="0.15">
      <c r="B24" s="9" t="s">
        <v>532</v>
      </c>
      <c r="C24" s="9">
        <v>63</v>
      </c>
      <c r="D24" s="9">
        <v>77</v>
      </c>
      <c r="E24" s="9" t="s">
        <v>462</v>
      </c>
      <c r="F24" s="9" t="s">
        <v>588</v>
      </c>
      <c r="G24" s="9" t="s">
        <v>205</v>
      </c>
      <c r="H24" s="9" t="s">
        <v>679</v>
      </c>
      <c r="I24" s="9">
        <v>1</v>
      </c>
      <c r="J24" s="9">
        <v>1</v>
      </c>
      <c r="K24" s="9">
        <v>1</v>
      </c>
      <c r="L24" s="9">
        <v>1</v>
      </c>
    </row>
    <row r="25" spans="2:12" x14ac:dyDescent="0.15">
      <c r="B25" s="9" t="s">
        <v>488</v>
      </c>
      <c r="C25" s="9">
        <v>6</v>
      </c>
      <c r="D25" s="9">
        <v>10</v>
      </c>
      <c r="E25" s="9" t="s">
        <v>220</v>
      </c>
      <c r="F25" s="9" t="s">
        <v>589</v>
      </c>
      <c r="G25" s="9" t="s">
        <v>603</v>
      </c>
      <c r="H25" s="9" t="s">
        <v>679</v>
      </c>
      <c r="I25" s="9">
        <v>1</v>
      </c>
      <c r="J25" s="9">
        <v>1</v>
      </c>
      <c r="K25" s="9">
        <v>1</v>
      </c>
      <c r="L25" s="9">
        <v>1</v>
      </c>
    </row>
    <row r="26" spans="2:12" x14ac:dyDescent="0.15">
      <c r="B26" s="9" t="s">
        <v>211</v>
      </c>
      <c r="C26" s="9">
        <v>30</v>
      </c>
      <c r="D26" s="9">
        <v>40</v>
      </c>
      <c r="E26" s="9" t="s">
        <v>220</v>
      </c>
      <c r="F26" s="9" t="s">
        <v>589</v>
      </c>
      <c r="G26" s="9" t="s">
        <v>603</v>
      </c>
      <c r="H26" s="9" t="s">
        <v>679</v>
      </c>
      <c r="I26" s="9">
        <v>1</v>
      </c>
      <c r="J26" s="9">
        <v>1</v>
      </c>
      <c r="K26" s="9">
        <v>1</v>
      </c>
      <c r="L26" s="9">
        <v>1</v>
      </c>
    </row>
    <row r="27" spans="2:12" x14ac:dyDescent="0.15">
      <c r="B27" s="9" t="s">
        <v>489</v>
      </c>
      <c r="C27" s="9">
        <v>65</v>
      </c>
      <c r="D27" s="9">
        <v>85</v>
      </c>
      <c r="E27" s="9" t="s">
        <v>220</v>
      </c>
      <c r="F27" s="9" t="s">
        <v>589</v>
      </c>
      <c r="G27" s="9" t="s">
        <v>603</v>
      </c>
      <c r="H27" s="9" t="s">
        <v>679</v>
      </c>
      <c r="I27" s="9">
        <v>1</v>
      </c>
      <c r="J27" s="9">
        <v>1</v>
      </c>
      <c r="K27" s="9">
        <v>1</v>
      </c>
      <c r="L27" s="9">
        <v>1</v>
      </c>
    </row>
    <row r="28" spans="2:12" x14ac:dyDescent="0.15">
      <c r="B28" s="9" t="s">
        <v>490</v>
      </c>
      <c r="C28" s="9">
        <v>150</v>
      </c>
      <c r="D28" s="9">
        <v>170</v>
      </c>
      <c r="E28" s="9" t="s">
        <v>220</v>
      </c>
      <c r="F28" s="9" t="s">
        <v>589</v>
      </c>
      <c r="G28" s="9" t="s">
        <v>603</v>
      </c>
      <c r="H28" s="9" t="s">
        <v>679</v>
      </c>
      <c r="I28" s="9">
        <v>1</v>
      </c>
      <c r="J28" s="9">
        <v>1</v>
      </c>
      <c r="K28" s="9">
        <v>1</v>
      </c>
      <c r="L28" s="9">
        <v>1</v>
      </c>
    </row>
    <row r="29" spans="2:12" x14ac:dyDescent="0.15">
      <c r="B29" s="9" t="s">
        <v>491</v>
      </c>
      <c r="C29" s="9">
        <v>13</v>
      </c>
      <c r="D29" s="9">
        <v>16</v>
      </c>
      <c r="E29" s="9" t="s">
        <v>456</v>
      </c>
      <c r="F29" s="9" t="s">
        <v>589</v>
      </c>
      <c r="G29" s="9" t="s">
        <v>603</v>
      </c>
      <c r="H29" s="9" t="s">
        <v>679</v>
      </c>
      <c r="I29" s="9">
        <v>1</v>
      </c>
      <c r="J29" s="9">
        <v>1</v>
      </c>
      <c r="K29" s="9">
        <v>1</v>
      </c>
      <c r="L29" s="9">
        <v>1</v>
      </c>
    </row>
    <row r="30" spans="2:12" x14ac:dyDescent="0.15">
      <c r="B30" s="9" t="s">
        <v>492</v>
      </c>
      <c r="C30" s="9">
        <v>50</v>
      </c>
      <c r="D30" s="9">
        <v>60</v>
      </c>
      <c r="E30" s="9" t="s">
        <v>456</v>
      </c>
      <c r="F30" s="9" t="s">
        <v>589</v>
      </c>
      <c r="G30" s="9" t="s">
        <v>603</v>
      </c>
      <c r="H30" s="9" t="s">
        <v>679</v>
      </c>
      <c r="I30" s="9">
        <v>1</v>
      </c>
      <c r="J30" s="9">
        <v>1</v>
      </c>
      <c r="K30" s="9">
        <v>1</v>
      </c>
      <c r="L30" s="9">
        <v>1</v>
      </c>
    </row>
    <row r="31" spans="2:12" x14ac:dyDescent="0.15">
      <c r="B31" s="9" t="s">
        <v>493</v>
      </c>
      <c r="C31" s="9">
        <v>120</v>
      </c>
      <c r="D31" s="9">
        <v>140</v>
      </c>
      <c r="E31" s="9" t="s">
        <v>456</v>
      </c>
      <c r="F31" s="9" t="s">
        <v>589</v>
      </c>
      <c r="G31" s="9" t="s">
        <v>603</v>
      </c>
      <c r="H31" s="9" t="s">
        <v>679</v>
      </c>
      <c r="I31" s="9">
        <v>1</v>
      </c>
      <c r="J31" s="9">
        <v>1</v>
      </c>
      <c r="K31" s="9">
        <v>1</v>
      </c>
      <c r="L31" s="9">
        <v>1</v>
      </c>
    </row>
    <row r="32" spans="2:12" x14ac:dyDescent="0.15">
      <c r="B32" s="9" t="s">
        <v>494</v>
      </c>
      <c r="C32" s="9">
        <v>210</v>
      </c>
      <c r="D32" s="9">
        <v>230</v>
      </c>
      <c r="E32" s="9" t="s">
        <v>456</v>
      </c>
      <c r="F32" s="9" t="s">
        <v>589</v>
      </c>
      <c r="G32" s="9" t="s">
        <v>603</v>
      </c>
      <c r="H32" s="9" t="s">
        <v>679</v>
      </c>
      <c r="I32" s="9">
        <v>1</v>
      </c>
      <c r="J32" s="9">
        <v>1</v>
      </c>
      <c r="K32" s="9">
        <v>1</v>
      </c>
      <c r="L32" s="9">
        <v>1</v>
      </c>
    </row>
    <row r="33" spans="2:12" x14ac:dyDescent="0.15">
      <c r="B33" s="9" t="s">
        <v>495</v>
      </c>
      <c r="C33" s="9">
        <v>35</v>
      </c>
      <c r="D33" s="9">
        <v>45</v>
      </c>
      <c r="E33" s="9" t="s">
        <v>326</v>
      </c>
      <c r="F33" s="9" t="s">
        <v>588</v>
      </c>
      <c r="G33" s="9" t="s">
        <v>610</v>
      </c>
      <c r="H33" s="9" t="s">
        <v>679</v>
      </c>
      <c r="I33" s="9">
        <v>1</v>
      </c>
      <c r="J33" s="9">
        <v>1</v>
      </c>
      <c r="K33" s="9">
        <v>1</v>
      </c>
      <c r="L33" s="9">
        <v>1</v>
      </c>
    </row>
    <row r="34" spans="2:12" x14ac:dyDescent="0.15">
      <c r="B34" s="9" t="s">
        <v>496</v>
      </c>
      <c r="C34" s="9">
        <v>40</v>
      </c>
      <c r="D34" s="9">
        <v>50</v>
      </c>
      <c r="E34" s="9" t="s">
        <v>326</v>
      </c>
      <c r="F34" s="9" t="s">
        <v>588</v>
      </c>
      <c r="G34" s="9" t="s">
        <v>603</v>
      </c>
      <c r="H34" s="9" t="s">
        <v>680</v>
      </c>
      <c r="I34" s="9">
        <v>1</v>
      </c>
      <c r="J34" s="9">
        <v>1</v>
      </c>
      <c r="K34" s="9">
        <v>1</v>
      </c>
      <c r="L34" s="9">
        <v>1</v>
      </c>
    </row>
    <row r="35" spans="2:12" x14ac:dyDescent="0.15">
      <c r="B35" s="9" t="s">
        <v>497</v>
      </c>
      <c r="C35" s="9">
        <v>170</v>
      </c>
      <c r="D35" s="9">
        <v>190</v>
      </c>
      <c r="E35" s="9" t="s">
        <v>220</v>
      </c>
      <c r="F35" s="9" t="s">
        <v>589</v>
      </c>
      <c r="G35" s="9" t="s">
        <v>605</v>
      </c>
      <c r="H35" s="9" t="s">
        <v>680</v>
      </c>
      <c r="I35" s="9">
        <v>1</v>
      </c>
      <c r="J35" s="9">
        <v>1</v>
      </c>
      <c r="K35" s="9">
        <v>1</v>
      </c>
      <c r="L35" s="9">
        <v>1</v>
      </c>
    </row>
    <row r="36" spans="2:12" x14ac:dyDescent="0.15">
      <c r="B36" s="9" t="s">
        <v>498</v>
      </c>
      <c r="C36" s="9">
        <v>30</v>
      </c>
      <c r="D36" s="9">
        <v>40</v>
      </c>
      <c r="E36" s="9" t="s">
        <v>462</v>
      </c>
      <c r="F36" s="9" t="s">
        <v>589</v>
      </c>
      <c r="G36" s="9" t="s">
        <v>603</v>
      </c>
      <c r="H36" s="9" t="s">
        <v>679</v>
      </c>
      <c r="I36" s="9">
        <v>1</v>
      </c>
      <c r="J36" s="9">
        <v>1</v>
      </c>
      <c r="K36" s="9">
        <v>1</v>
      </c>
      <c r="L36" s="9">
        <v>1</v>
      </c>
    </row>
    <row r="37" spans="2:12" x14ac:dyDescent="0.15">
      <c r="B37" s="9" t="s">
        <v>499</v>
      </c>
      <c r="C37" s="9">
        <v>50</v>
      </c>
      <c r="D37" s="9">
        <v>65</v>
      </c>
      <c r="E37" s="9" t="s">
        <v>462</v>
      </c>
      <c r="F37" s="9" t="s">
        <v>588</v>
      </c>
      <c r="G37" s="9" t="s">
        <v>605</v>
      </c>
      <c r="H37" s="9" t="s">
        <v>679</v>
      </c>
      <c r="I37" s="9">
        <v>1</v>
      </c>
      <c r="J37" s="9">
        <v>1</v>
      </c>
      <c r="K37" s="9">
        <v>1</v>
      </c>
      <c r="L37" s="9">
        <v>1</v>
      </c>
    </row>
    <row r="38" spans="2:12" x14ac:dyDescent="0.15">
      <c r="B38" s="9" t="s">
        <v>500</v>
      </c>
      <c r="C38" s="9">
        <v>10</v>
      </c>
      <c r="D38" s="9">
        <v>25</v>
      </c>
      <c r="E38" s="9" t="s">
        <v>203</v>
      </c>
      <c r="F38" s="9" t="s">
        <v>580</v>
      </c>
      <c r="G38" s="9" t="s">
        <v>217</v>
      </c>
      <c r="H38" s="9" t="s">
        <v>679</v>
      </c>
      <c r="I38" s="9">
        <v>1</v>
      </c>
      <c r="J38" s="9">
        <v>1</v>
      </c>
      <c r="K38" s="9">
        <v>1</v>
      </c>
      <c r="L38" s="9">
        <v>1</v>
      </c>
    </row>
    <row r="39" spans="2:12" x14ac:dyDescent="0.15">
      <c r="B39" s="9" t="s">
        <v>501</v>
      </c>
      <c r="C39" s="9">
        <v>90</v>
      </c>
      <c r="D39" s="9">
        <v>130</v>
      </c>
      <c r="E39" s="9" t="s">
        <v>203</v>
      </c>
      <c r="F39" s="9" t="s">
        <v>580</v>
      </c>
      <c r="G39" s="9" t="s">
        <v>217</v>
      </c>
      <c r="H39" s="9" t="s">
        <v>679</v>
      </c>
      <c r="I39" s="9">
        <v>1</v>
      </c>
      <c r="J39" s="9">
        <v>1</v>
      </c>
      <c r="K39" s="9">
        <v>1</v>
      </c>
      <c r="L39" s="9">
        <v>1</v>
      </c>
    </row>
    <row r="40" spans="2:12" x14ac:dyDescent="0.15">
      <c r="B40" s="9" t="s">
        <v>502</v>
      </c>
      <c r="C40" s="9">
        <v>180</v>
      </c>
      <c r="D40" s="9">
        <v>210</v>
      </c>
      <c r="E40" s="9" t="s">
        <v>462</v>
      </c>
      <c r="F40" s="9" t="s">
        <v>589</v>
      </c>
      <c r="G40" s="9" t="s">
        <v>603</v>
      </c>
      <c r="H40" s="9" t="s">
        <v>679</v>
      </c>
      <c r="I40" s="9">
        <v>1</v>
      </c>
      <c r="J40" s="9">
        <v>1</v>
      </c>
      <c r="K40" s="9">
        <v>1</v>
      </c>
      <c r="L40" s="9">
        <v>1</v>
      </c>
    </row>
    <row r="41" spans="2:12" x14ac:dyDescent="0.15">
      <c r="B41" s="9" t="s">
        <v>507</v>
      </c>
      <c r="C41" s="9">
        <v>65</v>
      </c>
      <c r="D41" s="9">
        <v>85</v>
      </c>
      <c r="E41" s="9" t="s">
        <v>220</v>
      </c>
      <c r="F41" s="9" t="s">
        <v>621</v>
      </c>
      <c r="G41" s="9">
        <v>103</v>
      </c>
      <c r="H41" s="9" t="s">
        <v>679</v>
      </c>
      <c r="I41" s="9">
        <v>1</v>
      </c>
      <c r="J41" s="9">
        <v>1</v>
      </c>
      <c r="K41" s="9">
        <v>1</v>
      </c>
      <c r="L41" s="9">
        <v>1</v>
      </c>
    </row>
    <row r="42" spans="2:12" x14ac:dyDescent="0.15">
      <c r="B42" s="9" t="s">
        <v>508</v>
      </c>
      <c r="C42" s="9">
        <v>60</v>
      </c>
      <c r="D42" s="9">
        <v>70</v>
      </c>
      <c r="E42" s="9" t="s">
        <v>456</v>
      </c>
      <c r="F42" s="9" t="s">
        <v>622</v>
      </c>
      <c r="G42" s="9">
        <v>64</v>
      </c>
      <c r="H42" s="9" t="s">
        <v>679</v>
      </c>
      <c r="I42" s="9">
        <v>1</v>
      </c>
      <c r="J42" s="9">
        <v>1</v>
      </c>
      <c r="K42" s="9">
        <v>1</v>
      </c>
      <c r="L42" s="9">
        <v>1</v>
      </c>
    </row>
    <row r="43" spans="2:12" x14ac:dyDescent="0.15">
      <c r="B43" s="9" t="s">
        <v>509</v>
      </c>
      <c r="C43" s="9">
        <v>0</v>
      </c>
      <c r="D43" s="9">
        <v>0</v>
      </c>
      <c r="E43" s="9" t="s">
        <v>623</v>
      </c>
      <c r="F43" s="9" t="s">
        <v>204</v>
      </c>
      <c r="G43" s="9">
        <v>67</v>
      </c>
      <c r="H43" s="9" t="s">
        <v>682</v>
      </c>
      <c r="I43" s="9">
        <v>0.5</v>
      </c>
      <c r="J43" s="9">
        <v>0.5</v>
      </c>
      <c r="K43" s="9">
        <v>0.5</v>
      </c>
      <c r="L43" s="9">
        <v>0.5</v>
      </c>
    </row>
    <row r="44" spans="2:12" x14ac:dyDescent="0.15">
      <c r="B44" s="9" t="s">
        <v>510</v>
      </c>
      <c r="C44" s="9">
        <v>150</v>
      </c>
      <c r="D44" s="9">
        <v>180</v>
      </c>
      <c r="E44" s="9" t="s">
        <v>203</v>
      </c>
      <c r="F44" s="9" t="s">
        <v>580</v>
      </c>
      <c r="G44" s="9" t="s">
        <v>603</v>
      </c>
      <c r="H44" s="9" t="s">
        <v>680</v>
      </c>
      <c r="I44" s="9">
        <v>1</v>
      </c>
      <c r="J44" s="9">
        <v>1</v>
      </c>
      <c r="K44" s="9">
        <v>1</v>
      </c>
      <c r="L44" s="9">
        <v>1</v>
      </c>
    </row>
    <row r="45" spans="2:12" x14ac:dyDescent="0.15">
      <c r="B45" s="9" t="s">
        <v>511</v>
      </c>
      <c r="C45" s="9">
        <v>0</v>
      </c>
      <c r="D45" s="9">
        <v>0</v>
      </c>
      <c r="E45" s="9" t="s">
        <v>624</v>
      </c>
      <c r="F45" s="9" t="s">
        <v>204</v>
      </c>
      <c r="G45" s="9">
        <v>100</v>
      </c>
      <c r="H45" s="9" t="s">
        <v>680</v>
      </c>
      <c r="I45" s="9">
        <v>0.5</v>
      </c>
      <c r="J45" s="9">
        <v>0.5</v>
      </c>
      <c r="K45" s="9">
        <v>0.5</v>
      </c>
      <c r="L45" s="9">
        <v>0.5</v>
      </c>
    </row>
    <row r="46" spans="2:12" x14ac:dyDescent="0.15">
      <c r="B46" s="9" t="s">
        <v>512</v>
      </c>
      <c r="C46" s="9">
        <v>120</v>
      </c>
      <c r="D46" s="9">
        <v>150</v>
      </c>
      <c r="E46" s="9" t="s">
        <v>203</v>
      </c>
      <c r="F46" s="9" t="s">
        <v>580</v>
      </c>
      <c r="G46" s="9" t="s">
        <v>610</v>
      </c>
      <c r="H46" s="9" t="s">
        <v>679</v>
      </c>
      <c r="I46" s="9">
        <v>1</v>
      </c>
      <c r="J46" s="9">
        <v>1</v>
      </c>
      <c r="K46" s="9">
        <v>1</v>
      </c>
      <c r="L46" s="9">
        <v>1</v>
      </c>
    </row>
    <row r="47" spans="2:12" x14ac:dyDescent="0.15">
      <c r="B47" s="9" t="s">
        <v>513</v>
      </c>
      <c r="C47" s="9">
        <v>200</v>
      </c>
      <c r="D47" s="9">
        <v>220</v>
      </c>
      <c r="E47" s="9" t="s">
        <v>220</v>
      </c>
      <c r="F47" s="9" t="s">
        <v>589</v>
      </c>
      <c r="G47" s="9" t="s">
        <v>611</v>
      </c>
      <c r="H47" s="9" t="s">
        <v>679</v>
      </c>
      <c r="I47" s="9">
        <v>1</v>
      </c>
      <c r="J47" s="9">
        <v>1</v>
      </c>
      <c r="K47" s="9">
        <v>1</v>
      </c>
      <c r="L47" s="9">
        <v>1</v>
      </c>
    </row>
    <row r="48" spans="2:12" x14ac:dyDescent="0.15">
      <c r="B48" s="9" t="s">
        <v>212</v>
      </c>
      <c r="C48" s="9">
        <v>7</v>
      </c>
      <c r="D48" s="9">
        <v>12</v>
      </c>
      <c r="E48" s="9" t="s">
        <v>327</v>
      </c>
      <c r="F48" s="9" t="s">
        <v>588</v>
      </c>
      <c r="G48" s="9" t="s">
        <v>603</v>
      </c>
      <c r="H48" s="9" t="s">
        <v>680</v>
      </c>
      <c r="I48" s="9">
        <v>1</v>
      </c>
      <c r="J48" s="9">
        <v>1</v>
      </c>
      <c r="K48" s="9">
        <v>1</v>
      </c>
      <c r="L48" s="9">
        <v>1</v>
      </c>
    </row>
    <row r="49" spans="2:12" x14ac:dyDescent="0.15">
      <c r="B49" s="9" t="s">
        <v>213</v>
      </c>
      <c r="C49" s="9">
        <v>52</v>
      </c>
      <c r="D49" s="9">
        <v>62</v>
      </c>
      <c r="E49" s="9" t="s">
        <v>327</v>
      </c>
      <c r="F49" s="9" t="s">
        <v>588</v>
      </c>
      <c r="G49" s="9" t="s">
        <v>603</v>
      </c>
      <c r="H49" s="9" t="s">
        <v>680</v>
      </c>
      <c r="I49" s="9">
        <v>1</v>
      </c>
      <c r="J49" s="9">
        <v>1</v>
      </c>
      <c r="K49" s="9">
        <v>1</v>
      </c>
      <c r="L49" s="9">
        <v>1</v>
      </c>
    </row>
    <row r="50" spans="2:12" x14ac:dyDescent="0.15">
      <c r="B50" s="9" t="s">
        <v>514</v>
      </c>
      <c r="C50" s="9">
        <v>120</v>
      </c>
      <c r="D50" s="9">
        <v>140</v>
      </c>
      <c r="E50" s="9" t="s">
        <v>327</v>
      </c>
      <c r="F50" s="9" t="s">
        <v>588</v>
      </c>
      <c r="G50" s="9" t="s">
        <v>603</v>
      </c>
      <c r="H50" s="9" t="s">
        <v>680</v>
      </c>
      <c r="I50" s="9">
        <v>1</v>
      </c>
      <c r="J50" s="9">
        <v>1</v>
      </c>
      <c r="K50" s="9">
        <v>1</v>
      </c>
      <c r="L50" s="9">
        <v>1</v>
      </c>
    </row>
    <row r="51" spans="2:12" x14ac:dyDescent="0.15">
      <c r="B51" s="9" t="s">
        <v>223</v>
      </c>
      <c r="C51" s="9">
        <v>10</v>
      </c>
      <c r="D51" s="9">
        <v>18</v>
      </c>
      <c r="E51" s="9" t="s">
        <v>371</v>
      </c>
      <c r="F51" s="9" t="s">
        <v>588</v>
      </c>
      <c r="G51" s="9" t="s">
        <v>611</v>
      </c>
      <c r="H51" s="9" t="s">
        <v>679</v>
      </c>
      <c r="I51" s="9">
        <v>1</v>
      </c>
      <c r="J51" s="9">
        <v>1</v>
      </c>
      <c r="K51" s="9">
        <v>1</v>
      </c>
      <c r="L51" s="9">
        <v>1</v>
      </c>
    </row>
    <row r="52" spans="2:12" x14ac:dyDescent="0.15">
      <c r="B52" s="9" t="s">
        <v>515</v>
      </c>
      <c r="C52" s="9">
        <v>22</v>
      </c>
      <c r="D52" s="9">
        <v>34</v>
      </c>
      <c r="E52" s="9" t="s">
        <v>371</v>
      </c>
      <c r="F52" s="9" t="s">
        <v>588</v>
      </c>
      <c r="G52" s="9" t="s">
        <v>611</v>
      </c>
      <c r="H52" s="9" t="s">
        <v>679</v>
      </c>
      <c r="I52" s="9">
        <v>1</v>
      </c>
      <c r="J52" s="9">
        <v>1</v>
      </c>
      <c r="K52" s="9">
        <v>1</v>
      </c>
      <c r="L52" s="9">
        <v>1</v>
      </c>
    </row>
    <row r="53" spans="2:12" x14ac:dyDescent="0.15">
      <c r="B53" s="9" t="s">
        <v>516</v>
      </c>
      <c r="C53" s="9">
        <v>60</v>
      </c>
      <c r="D53" s="9">
        <v>80</v>
      </c>
      <c r="E53" s="9" t="s">
        <v>371</v>
      </c>
      <c r="F53" s="9" t="s">
        <v>588</v>
      </c>
      <c r="G53" s="9" t="s">
        <v>603</v>
      </c>
      <c r="H53" s="9" t="s">
        <v>679</v>
      </c>
      <c r="I53" s="9">
        <v>1</v>
      </c>
      <c r="J53" s="9">
        <v>1</v>
      </c>
      <c r="K53" s="9">
        <v>1</v>
      </c>
      <c r="L53" s="9">
        <v>1</v>
      </c>
    </row>
    <row r="54" spans="2:12" x14ac:dyDescent="0.15">
      <c r="B54" s="9" t="s">
        <v>224</v>
      </c>
      <c r="C54" s="9">
        <v>15</v>
      </c>
      <c r="D54" s="9">
        <v>20</v>
      </c>
      <c r="E54" s="9" t="s">
        <v>326</v>
      </c>
      <c r="F54" s="9" t="s">
        <v>588</v>
      </c>
      <c r="G54" s="9" t="s">
        <v>603</v>
      </c>
      <c r="H54" s="9" t="s">
        <v>679</v>
      </c>
      <c r="I54" s="9">
        <v>1</v>
      </c>
      <c r="J54" s="9">
        <v>1</v>
      </c>
      <c r="K54" s="9">
        <v>1</v>
      </c>
      <c r="L54" s="9">
        <v>1</v>
      </c>
    </row>
    <row r="55" spans="2:12" x14ac:dyDescent="0.15">
      <c r="B55" s="9" t="s">
        <v>519</v>
      </c>
      <c r="C55" s="9">
        <v>35</v>
      </c>
      <c r="D55" s="9">
        <v>45</v>
      </c>
      <c r="E55" s="9" t="s">
        <v>326</v>
      </c>
      <c r="F55" s="9" t="s">
        <v>588</v>
      </c>
      <c r="G55" s="9" t="s">
        <v>611</v>
      </c>
      <c r="H55" s="9" t="s">
        <v>679</v>
      </c>
      <c r="I55" s="9">
        <v>1</v>
      </c>
      <c r="J55" s="9">
        <v>1</v>
      </c>
      <c r="K55" s="9">
        <v>1</v>
      </c>
      <c r="L55" s="9">
        <v>1</v>
      </c>
    </row>
    <row r="56" spans="2:12" x14ac:dyDescent="0.15">
      <c r="B56" s="9" t="s">
        <v>520</v>
      </c>
      <c r="C56" s="9">
        <v>95</v>
      </c>
      <c r="D56" s="9">
        <v>115</v>
      </c>
      <c r="E56" s="9" t="s">
        <v>326</v>
      </c>
      <c r="F56" s="9" t="s">
        <v>588</v>
      </c>
      <c r="G56" s="9" t="s">
        <v>603</v>
      </c>
      <c r="H56" s="9" t="s">
        <v>679</v>
      </c>
      <c r="I56" s="9">
        <v>1</v>
      </c>
      <c r="J56" s="9">
        <v>1</v>
      </c>
      <c r="K56" s="9">
        <v>1</v>
      </c>
      <c r="L56" s="9">
        <v>1</v>
      </c>
    </row>
    <row r="57" spans="2:12" x14ac:dyDescent="0.15">
      <c r="B57" s="9" t="s">
        <v>208</v>
      </c>
      <c r="C57" s="9">
        <v>12</v>
      </c>
      <c r="D57" s="9">
        <v>20</v>
      </c>
      <c r="E57" s="9" t="s">
        <v>581</v>
      </c>
      <c r="F57" s="9" t="s">
        <v>588</v>
      </c>
      <c r="G57" s="9" t="s">
        <v>603</v>
      </c>
      <c r="H57" s="9" t="s">
        <v>680</v>
      </c>
      <c r="I57" s="9">
        <v>1</v>
      </c>
      <c r="J57" s="9">
        <v>1</v>
      </c>
      <c r="K57" s="9">
        <v>1</v>
      </c>
      <c r="L57" s="9">
        <v>1</v>
      </c>
    </row>
    <row r="58" spans="2:12" x14ac:dyDescent="0.15">
      <c r="B58" s="9" t="s">
        <v>517</v>
      </c>
      <c r="C58" s="9">
        <v>30</v>
      </c>
      <c r="D58" s="9">
        <v>40</v>
      </c>
      <c r="E58" s="9" t="s">
        <v>581</v>
      </c>
      <c r="F58" s="9" t="s">
        <v>588</v>
      </c>
      <c r="G58" s="9" t="s">
        <v>603</v>
      </c>
      <c r="H58" s="9" t="s">
        <v>679</v>
      </c>
      <c r="I58" s="9">
        <v>1</v>
      </c>
      <c r="J58" s="9">
        <v>1</v>
      </c>
      <c r="K58" s="9">
        <v>1</v>
      </c>
      <c r="L58" s="9">
        <v>1</v>
      </c>
    </row>
    <row r="59" spans="2:12" x14ac:dyDescent="0.15">
      <c r="B59" s="9" t="s">
        <v>518</v>
      </c>
      <c r="C59" s="9">
        <v>60</v>
      </c>
      <c r="D59" s="9">
        <v>70</v>
      </c>
      <c r="E59" s="9" t="s">
        <v>581</v>
      </c>
      <c r="F59" s="9" t="s">
        <v>588</v>
      </c>
      <c r="G59" s="9" t="s">
        <v>603</v>
      </c>
      <c r="H59" s="9" t="s">
        <v>679</v>
      </c>
      <c r="I59" s="9">
        <v>1</v>
      </c>
      <c r="J59" s="9">
        <v>1</v>
      </c>
      <c r="K59" s="9">
        <v>1</v>
      </c>
      <c r="L59" s="9">
        <v>1</v>
      </c>
    </row>
    <row r="60" spans="2:12" x14ac:dyDescent="0.15">
      <c r="B60" s="9" t="s">
        <v>225</v>
      </c>
      <c r="C60" s="9">
        <v>6</v>
      </c>
      <c r="D60" s="9">
        <v>18</v>
      </c>
      <c r="E60" s="9" t="s">
        <v>462</v>
      </c>
      <c r="F60" s="9" t="s">
        <v>588</v>
      </c>
      <c r="G60" s="9" t="s">
        <v>611</v>
      </c>
      <c r="H60" s="9" t="s">
        <v>679</v>
      </c>
      <c r="I60" s="9">
        <v>1</v>
      </c>
      <c r="J60" s="9">
        <v>1</v>
      </c>
      <c r="K60" s="9">
        <v>1</v>
      </c>
      <c r="L60" s="9">
        <v>1</v>
      </c>
    </row>
    <row r="61" spans="2:12" x14ac:dyDescent="0.15">
      <c r="B61" s="9" t="s">
        <v>521</v>
      </c>
      <c r="C61" s="9">
        <v>14</v>
      </c>
      <c r="D61" s="9">
        <v>34</v>
      </c>
      <c r="E61" s="9" t="s">
        <v>462</v>
      </c>
      <c r="F61" s="9" t="s">
        <v>588</v>
      </c>
      <c r="G61" s="9" t="s">
        <v>603</v>
      </c>
      <c r="H61" s="9" t="s">
        <v>679</v>
      </c>
      <c r="I61" s="9">
        <v>1</v>
      </c>
      <c r="J61" s="9">
        <v>1</v>
      </c>
      <c r="K61" s="9">
        <v>1</v>
      </c>
      <c r="L61" s="9">
        <v>1</v>
      </c>
    </row>
    <row r="62" spans="2:12" x14ac:dyDescent="0.15">
      <c r="B62" s="9" t="s">
        <v>522</v>
      </c>
      <c r="C62" s="9">
        <v>40</v>
      </c>
      <c r="D62" s="9">
        <v>95</v>
      </c>
      <c r="E62" s="9" t="s">
        <v>462</v>
      </c>
      <c r="F62" s="9" t="s">
        <v>588</v>
      </c>
      <c r="G62" s="9" t="s">
        <v>603</v>
      </c>
      <c r="H62" s="9" t="s">
        <v>679</v>
      </c>
      <c r="I62" s="9">
        <v>1</v>
      </c>
      <c r="J62" s="9">
        <v>1</v>
      </c>
      <c r="K62" s="9">
        <v>1</v>
      </c>
      <c r="L62" s="9">
        <v>1</v>
      </c>
    </row>
    <row r="63" spans="2:12" x14ac:dyDescent="0.15">
      <c r="B63" s="9" t="s">
        <v>523</v>
      </c>
      <c r="C63" s="9">
        <v>175</v>
      </c>
      <c r="D63" s="9">
        <v>225</v>
      </c>
      <c r="E63" s="9" t="s">
        <v>375</v>
      </c>
      <c r="F63" s="9" t="s">
        <v>588</v>
      </c>
      <c r="G63" s="9" t="s">
        <v>611</v>
      </c>
      <c r="H63" s="9" t="s">
        <v>679</v>
      </c>
      <c r="I63" s="9">
        <v>1</v>
      </c>
      <c r="J63" s="9">
        <v>1</v>
      </c>
      <c r="K63" s="9">
        <v>1</v>
      </c>
      <c r="L63" s="9">
        <v>1</v>
      </c>
    </row>
    <row r="64" spans="2:12" x14ac:dyDescent="0.15">
      <c r="B64" s="9" t="s">
        <v>524</v>
      </c>
      <c r="C64" s="9">
        <v>20</v>
      </c>
      <c r="D64" s="9">
        <v>30</v>
      </c>
      <c r="E64" s="9" t="s">
        <v>371</v>
      </c>
      <c r="F64" s="9" t="s">
        <v>588</v>
      </c>
      <c r="G64" s="9" t="s">
        <v>603</v>
      </c>
      <c r="H64" s="9" t="s">
        <v>679</v>
      </c>
      <c r="I64" s="9">
        <v>1</v>
      </c>
      <c r="J64" s="9">
        <v>1</v>
      </c>
      <c r="K64" s="9">
        <v>1</v>
      </c>
      <c r="L64" s="9">
        <v>1</v>
      </c>
    </row>
    <row r="65" spans="2:12" x14ac:dyDescent="0.15">
      <c r="B65" s="9" t="s">
        <v>525</v>
      </c>
      <c r="C65" s="9">
        <v>52</v>
      </c>
      <c r="D65" s="9">
        <v>62</v>
      </c>
      <c r="E65" s="9" t="s">
        <v>327</v>
      </c>
      <c r="F65" s="9" t="s">
        <v>588</v>
      </c>
      <c r="G65" s="9" t="s">
        <v>603</v>
      </c>
      <c r="H65" s="9" t="s">
        <v>680</v>
      </c>
      <c r="I65" s="9">
        <v>1</v>
      </c>
      <c r="J65" s="9">
        <v>1</v>
      </c>
      <c r="K65" s="9">
        <v>1</v>
      </c>
      <c r="L65" s="9">
        <v>1</v>
      </c>
    </row>
    <row r="66" spans="2:12" x14ac:dyDescent="0.15">
      <c r="B66" s="9" t="s">
        <v>526</v>
      </c>
      <c r="C66" s="9">
        <v>70</v>
      </c>
      <c r="D66" s="9">
        <v>90</v>
      </c>
      <c r="E66" s="9" t="s">
        <v>375</v>
      </c>
      <c r="F66" s="9" t="s">
        <v>588</v>
      </c>
      <c r="G66" s="9" t="s">
        <v>603</v>
      </c>
      <c r="H66" s="9" t="s">
        <v>679</v>
      </c>
      <c r="I66" s="9">
        <v>1</v>
      </c>
      <c r="J66" s="9">
        <v>1</v>
      </c>
      <c r="K66" s="9">
        <v>1</v>
      </c>
      <c r="L66" s="9">
        <v>1</v>
      </c>
    </row>
    <row r="67" spans="2:12" x14ac:dyDescent="0.15">
      <c r="B67" s="9"/>
      <c r="C67" s="9"/>
      <c r="D67" s="9"/>
      <c r="E67" s="9"/>
      <c r="F67" s="9"/>
      <c r="G67" s="9"/>
      <c r="H67" s="9"/>
      <c r="I67" s="9"/>
      <c r="J67" s="9"/>
      <c r="K67" s="9"/>
      <c r="L67" s="9"/>
    </row>
    <row r="68" spans="2:12" x14ac:dyDescent="0.15">
      <c r="B68" s="9"/>
      <c r="C68" s="9"/>
      <c r="D68" s="9"/>
      <c r="E68" s="9"/>
      <c r="F68" s="9"/>
      <c r="G68" s="9"/>
      <c r="H68" s="9"/>
      <c r="I68" s="9"/>
      <c r="J68" s="9"/>
      <c r="K68" s="9"/>
      <c r="L68" s="9"/>
    </row>
    <row r="69" spans="2:12" x14ac:dyDescent="0.15">
      <c r="B69" s="9"/>
      <c r="C69" s="9"/>
      <c r="D69" s="9"/>
      <c r="E69" s="9"/>
      <c r="F69" s="9"/>
      <c r="G69" s="9"/>
      <c r="H69" s="9"/>
      <c r="I69" s="9"/>
      <c r="J69" s="9"/>
      <c r="K69" s="9"/>
      <c r="L69" s="9"/>
    </row>
    <row r="70" spans="2:12" x14ac:dyDescent="0.15">
      <c r="B70" s="9"/>
      <c r="C70" s="9"/>
      <c r="D70" s="9"/>
      <c r="E70" s="9"/>
      <c r="F70" s="9"/>
      <c r="G70" s="9"/>
      <c r="H70" s="9"/>
      <c r="I70" s="9"/>
      <c r="J70" s="9"/>
      <c r="K70" s="9"/>
      <c r="L70" s="9"/>
    </row>
    <row r="71" spans="2:12" x14ac:dyDescent="0.15">
      <c r="B71" s="9"/>
      <c r="C71" s="9"/>
      <c r="D71" s="9"/>
      <c r="E71" s="9"/>
      <c r="F71" s="9"/>
      <c r="G71" s="9"/>
      <c r="H71" s="9"/>
      <c r="I71" s="9"/>
      <c r="J71" s="9"/>
      <c r="K71" s="9"/>
      <c r="L71" s="9"/>
    </row>
    <row r="72" spans="2:12" x14ac:dyDescent="0.15">
      <c r="B72" s="9"/>
      <c r="C72" s="9"/>
      <c r="D72" s="9"/>
      <c r="E72" s="9"/>
      <c r="F72" s="9"/>
      <c r="G72" s="9"/>
      <c r="H72" s="9"/>
      <c r="I72" s="9"/>
      <c r="J72" s="9"/>
      <c r="K72" s="9"/>
      <c r="L72" s="9"/>
    </row>
    <row r="73" spans="2:12" x14ac:dyDescent="0.15">
      <c r="B73" s="9"/>
      <c r="C73" s="9"/>
      <c r="D73" s="9"/>
      <c r="E73" s="9"/>
      <c r="F73" s="9"/>
      <c r="G73" s="9"/>
      <c r="H73" s="9"/>
      <c r="I73" s="9"/>
      <c r="J73" s="9"/>
      <c r="K73" s="9"/>
      <c r="L73" s="9"/>
    </row>
    <row r="74" spans="2:12" x14ac:dyDescent="0.15">
      <c r="B74" s="10"/>
      <c r="C74" s="10"/>
      <c r="D74" s="10"/>
      <c r="E74" s="10"/>
      <c r="F74" s="10"/>
      <c r="G74" s="10"/>
      <c r="H74" s="10"/>
      <c r="I74" s="10"/>
      <c r="J74" s="10"/>
      <c r="K74" s="10"/>
      <c r="L74" s="10"/>
    </row>
  </sheetData>
  <mergeCells count="5">
    <mergeCell ref="I2:L2"/>
    <mergeCell ref="B2:B3"/>
    <mergeCell ref="C2:C3"/>
    <mergeCell ref="D2:D3"/>
    <mergeCell ref="E2:H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P20"/>
  <sheetViews>
    <sheetView workbookViewId="0">
      <selection activeCell="F54" sqref="F53:F54"/>
    </sheetView>
  </sheetViews>
  <sheetFormatPr defaultRowHeight="11.25" x14ac:dyDescent="0.15"/>
  <cols>
    <col min="1" max="1" width="1.625" style="1" customWidth="1"/>
    <col min="2" max="2" width="9" style="1"/>
    <col min="3" max="8" width="5.625" style="1" customWidth="1"/>
    <col min="9" max="17" width="4.625" style="1" customWidth="1"/>
    <col min="18" max="16384" width="9" style="1"/>
  </cols>
  <sheetData>
    <row r="2" spans="2:16" x14ac:dyDescent="0.15">
      <c r="B2" s="293" t="s">
        <v>198</v>
      </c>
      <c r="C2" s="295" t="s">
        <v>199</v>
      </c>
      <c r="D2" s="295" t="s">
        <v>200</v>
      </c>
      <c r="E2" s="295" t="s">
        <v>201</v>
      </c>
      <c r="F2" s="295"/>
      <c r="G2" s="295"/>
      <c r="H2" s="295"/>
      <c r="I2" s="295" t="s">
        <v>218</v>
      </c>
      <c r="J2" s="295"/>
      <c r="K2" s="295"/>
      <c r="L2" s="295"/>
      <c r="M2" s="295"/>
      <c r="N2" s="295"/>
      <c r="O2" s="295"/>
      <c r="P2" s="291"/>
    </row>
    <row r="3" spans="2:16" x14ac:dyDescent="0.15">
      <c r="B3" s="294"/>
      <c r="C3" s="253"/>
      <c r="D3" s="253"/>
      <c r="E3" s="253"/>
      <c r="F3" s="253"/>
      <c r="G3" s="253"/>
      <c r="H3" s="253"/>
      <c r="I3" s="94">
        <v>1</v>
      </c>
      <c r="J3" s="94">
        <v>2</v>
      </c>
      <c r="K3" s="94">
        <v>3</v>
      </c>
      <c r="L3" s="94">
        <v>4</v>
      </c>
      <c r="M3" s="94">
        <v>5</v>
      </c>
      <c r="N3" s="94">
        <v>6</v>
      </c>
      <c r="O3" s="94">
        <v>7</v>
      </c>
      <c r="P3" s="95">
        <v>8</v>
      </c>
    </row>
    <row r="4" spans="2:16" x14ac:dyDescent="0.15">
      <c r="B4" s="8" t="s">
        <v>202</v>
      </c>
      <c r="C4" s="9">
        <v>0</v>
      </c>
      <c r="D4" s="9">
        <v>0</v>
      </c>
      <c r="E4" s="9" t="s">
        <v>203</v>
      </c>
      <c r="F4" s="9" t="s">
        <v>204</v>
      </c>
      <c r="G4" s="9" t="s">
        <v>709</v>
      </c>
      <c r="H4" s="9" t="s">
        <v>710</v>
      </c>
      <c r="I4" s="9">
        <v>1</v>
      </c>
      <c r="J4" s="9">
        <v>1</v>
      </c>
      <c r="K4" s="9">
        <v>1</v>
      </c>
      <c r="L4" s="9">
        <v>1</v>
      </c>
      <c r="M4" s="9">
        <v>1</v>
      </c>
      <c r="N4" s="9">
        <v>1</v>
      </c>
      <c r="O4" s="9">
        <v>1</v>
      </c>
      <c r="P4" s="9">
        <v>1</v>
      </c>
    </row>
    <row r="5" spans="2:16" x14ac:dyDescent="0.15">
      <c r="B5" s="9" t="s">
        <v>536</v>
      </c>
      <c r="C5" s="9">
        <v>0</v>
      </c>
      <c r="D5" s="9">
        <v>0</v>
      </c>
      <c r="E5" s="9" t="s">
        <v>203</v>
      </c>
      <c r="F5" s="9" t="s">
        <v>535</v>
      </c>
      <c r="G5" s="9" t="s">
        <v>709</v>
      </c>
      <c r="H5" s="9" t="s">
        <v>711</v>
      </c>
      <c r="I5" s="9">
        <v>1</v>
      </c>
      <c r="J5" s="9">
        <f>102/128</f>
        <v>0.796875</v>
      </c>
      <c r="K5" s="9">
        <f>89/128</f>
        <v>0.6953125</v>
      </c>
      <c r="L5" s="9">
        <v>0.5</v>
      </c>
      <c r="M5" s="9">
        <f>38/128</f>
        <v>0.296875</v>
      </c>
      <c r="N5" s="9">
        <f>25/128</f>
        <v>0.1953125</v>
      </c>
      <c r="O5" s="9">
        <f>25/128</f>
        <v>0.1953125</v>
      </c>
      <c r="P5" s="9">
        <f>25/128</f>
        <v>0.1953125</v>
      </c>
    </row>
    <row r="6" spans="2:16" x14ac:dyDescent="0.15">
      <c r="B6" s="9" t="s">
        <v>720</v>
      </c>
      <c r="C6" s="9">
        <v>0</v>
      </c>
      <c r="D6" s="9">
        <v>0</v>
      </c>
      <c r="E6" s="9" t="s">
        <v>203</v>
      </c>
      <c r="F6" s="9" t="s">
        <v>721</v>
      </c>
      <c r="G6" s="9" t="s">
        <v>722</v>
      </c>
      <c r="H6" s="9" t="s">
        <v>723</v>
      </c>
      <c r="I6" s="9">
        <v>2</v>
      </c>
      <c r="J6" s="9">
        <v>2</v>
      </c>
      <c r="K6" s="9">
        <v>2</v>
      </c>
      <c r="L6" s="9">
        <v>2</v>
      </c>
      <c r="M6" s="9">
        <v>2</v>
      </c>
      <c r="N6" s="9">
        <v>2</v>
      </c>
      <c r="O6" s="9">
        <v>2</v>
      </c>
      <c r="P6" s="9">
        <v>2</v>
      </c>
    </row>
    <row r="7" spans="2:16" x14ac:dyDescent="0.15">
      <c r="B7" s="9" t="s">
        <v>209</v>
      </c>
      <c r="C7" s="9">
        <v>0</v>
      </c>
      <c r="D7" s="9">
        <v>0</v>
      </c>
      <c r="E7" s="9" t="s">
        <v>203</v>
      </c>
      <c r="F7" s="9" t="s">
        <v>204</v>
      </c>
      <c r="G7" s="9" t="s">
        <v>709</v>
      </c>
      <c r="H7" s="9" t="s">
        <v>710</v>
      </c>
      <c r="I7" s="9">
        <v>1.5</v>
      </c>
      <c r="J7" s="9">
        <v>1.5</v>
      </c>
      <c r="K7" s="9">
        <v>1.5</v>
      </c>
      <c r="L7" s="9">
        <v>1.5</v>
      </c>
      <c r="M7" s="9">
        <v>1.5</v>
      </c>
      <c r="N7" s="9">
        <v>1.5</v>
      </c>
      <c r="O7" s="9">
        <v>1.5</v>
      </c>
      <c r="P7" s="9">
        <v>1.5</v>
      </c>
    </row>
    <row r="8" spans="2:16" x14ac:dyDescent="0.15">
      <c r="B8" s="9" t="s">
        <v>207</v>
      </c>
      <c r="C8" s="9">
        <v>0</v>
      </c>
      <c r="D8" s="9">
        <v>0</v>
      </c>
      <c r="E8" s="9" t="s">
        <v>203</v>
      </c>
      <c r="F8" s="9" t="s">
        <v>204</v>
      </c>
      <c r="G8" s="9" t="s">
        <v>709</v>
      </c>
      <c r="H8" s="9" t="s">
        <v>710</v>
      </c>
      <c r="I8" s="9">
        <v>1.5</v>
      </c>
      <c r="J8" s="9">
        <v>1.5</v>
      </c>
      <c r="K8" s="9">
        <v>1.5</v>
      </c>
      <c r="L8" s="9">
        <v>1.5</v>
      </c>
      <c r="M8" s="9">
        <v>1.5</v>
      </c>
      <c r="N8" s="9">
        <v>1.5</v>
      </c>
      <c r="O8" s="9">
        <v>1.5</v>
      </c>
      <c r="P8" s="9">
        <v>1.5</v>
      </c>
    </row>
    <row r="9" spans="2:16" x14ac:dyDescent="0.15">
      <c r="B9" s="9" t="s">
        <v>210</v>
      </c>
      <c r="C9" s="9">
        <v>0</v>
      </c>
      <c r="D9" s="9">
        <v>0</v>
      </c>
      <c r="E9" s="9" t="s">
        <v>203</v>
      </c>
      <c r="F9" s="9" t="s">
        <v>535</v>
      </c>
      <c r="G9" s="9" t="s">
        <v>713</v>
      </c>
      <c r="H9" s="9" t="s">
        <v>680</v>
      </c>
      <c r="I9" s="9">
        <v>2</v>
      </c>
      <c r="J9" s="9">
        <v>2</v>
      </c>
      <c r="K9" s="9">
        <v>2</v>
      </c>
      <c r="L9" s="9">
        <v>2</v>
      </c>
      <c r="M9" s="9">
        <v>2</v>
      </c>
      <c r="N9" s="9">
        <v>2</v>
      </c>
      <c r="O9" s="9">
        <v>2</v>
      </c>
      <c r="P9" s="9">
        <v>2</v>
      </c>
    </row>
    <row r="10" spans="2:16" x14ac:dyDescent="0.15">
      <c r="B10" s="9" t="s">
        <v>206</v>
      </c>
      <c r="C10" s="9">
        <v>0</v>
      </c>
      <c r="D10" s="9">
        <v>0</v>
      </c>
      <c r="E10" s="9" t="s">
        <v>203</v>
      </c>
      <c r="F10" s="9" t="s">
        <v>575</v>
      </c>
      <c r="G10" s="9" t="s">
        <v>714</v>
      </c>
      <c r="H10" s="9" t="s">
        <v>680</v>
      </c>
      <c r="I10" s="9">
        <v>1</v>
      </c>
      <c r="J10" s="9">
        <v>1</v>
      </c>
      <c r="K10" s="9">
        <v>1</v>
      </c>
      <c r="L10" s="9">
        <v>1</v>
      </c>
      <c r="M10" s="9">
        <v>1</v>
      </c>
      <c r="N10" s="9">
        <v>1</v>
      </c>
      <c r="O10" s="9">
        <v>1</v>
      </c>
      <c r="P10" s="9">
        <v>1</v>
      </c>
    </row>
    <row r="11" spans="2:16" x14ac:dyDescent="0.15">
      <c r="B11" s="9" t="s">
        <v>211</v>
      </c>
      <c r="C11" s="9">
        <v>30</v>
      </c>
      <c r="D11" s="9">
        <v>40</v>
      </c>
      <c r="E11" s="9" t="s">
        <v>220</v>
      </c>
      <c r="F11" s="9" t="s">
        <v>593</v>
      </c>
      <c r="G11" s="9" t="s">
        <v>712</v>
      </c>
      <c r="H11" s="9" t="s">
        <v>711</v>
      </c>
      <c r="I11" s="9">
        <v>1</v>
      </c>
      <c r="J11" s="9">
        <v>1</v>
      </c>
      <c r="K11" s="9">
        <v>1</v>
      </c>
      <c r="L11" s="9">
        <v>1</v>
      </c>
      <c r="M11" s="9">
        <v>1</v>
      </c>
      <c r="N11" s="9">
        <v>1</v>
      </c>
      <c r="O11" s="9">
        <v>1</v>
      </c>
      <c r="P11" s="9">
        <v>1</v>
      </c>
    </row>
    <row r="12" spans="2:16" x14ac:dyDescent="0.15">
      <c r="B12" s="9" t="s">
        <v>212</v>
      </c>
      <c r="C12" s="9">
        <v>12</v>
      </c>
      <c r="D12" s="9">
        <v>15</v>
      </c>
      <c r="E12" s="9" t="s">
        <v>582</v>
      </c>
      <c r="F12" s="9" t="s">
        <v>594</v>
      </c>
      <c r="G12" s="9" t="s">
        <v>712</v>
      </c>
      <c r="H12" s="9" t="s">
        <v>710</v>
      </c>
      <c r="I12" s="9">
        <v>1</v>
      </c>
      <c r="J12" s="9">
        <v>1</v>
      </c>
      <c r="K12" s="9">
        <v>1</v>
      </c>
      <c r="L12" s="9">
        <v>1</v>
      </c>
      <c r="M12" s="9">
        <v>1</v>
      </c>
      <c r="N12" s="9">
        <v>1</v>
      </c>
      <c r="O12" s="9">
        <v>1</v>
      </c>
      <c r="P12" s="9">
        <v>1</v>
      </c>
    </row>
    <row r="13" spans="2:16" x14ac:dyDescent="0.15">
      <c r="B13" s="9" t="s">
        <v>213</v>
      </c>
      <c r="C13" s="9">
        <v>70</v>
      </c>
      <c r="D13" s="9">
        <v>90</v>
      </c>
      <c r="E13" s="9" t="s">
        <v>583</v>
      </c>
      <c r="F13" s="9" t="s">
        <v>594</v>
      </c>
      <c r="G13" s="9" t="s">
        <v>712</v>
      </c>
      <c r="H13" s="9" t="s">
        <v>710</v>
      </c>
      <c r="I13" s="9">
        <v>1</v>
      </c>
      <c r="J13" s="9">
        <v>1</v>
      </c>
      <c r="K13" s="9">
        <v>1</v>
      </c>
      <c r="L13" s="9">
        <v>1</v>
      </c>
      <c r="M13" s="9">
        <v>1</v>
      </c>
      <c r="N13" s="9">
        <v>1</v>
      </c>
      <c r="O13" s="9">
        <v>1</v>
      </c>
      <c r="P13" s="9">
        <v>1</v>
      </c>
    </row>
    <row r="14" spans="2:16" x14ac:dyDescent="0.15">
      <c r="B14" s="9" t="s">
        <v>208</v>
      </c>
      <c r="C14" s="9">
        <v>25</v>
      </c>
      <c r="D14" s="9">
        <v>35</v>
      </c>
      <c r="E14" s="9" t="s">
        <v>584</v>
      </c>
      <c r="F14" s="9" t="s">
        <v>594</v>
      </c>
      <c r="G14" s="9" t="s">
        <v>712</v>
      </c>
      <c r="H14" s="9" t="s">
        <v>710</v>
      </c>
      <c r="I14" s="9">
        <v>1</v>
      </c>
      <c r="J14" s="9">
        <v>1</v>
      </c>
      <c r="K14" s="9">
        <v>1</v>
      </c>
      <c r="L14" s="9">
        <v>1</v>
      </c>
      <c r="M14" s="9">
        <v>1</v>
      </c>
      <c r="N14" s="9">
        <v>1</v>
      </c>
      <c r="O14" s="9">
        <v>1</v>
      </c>
      <c r="P14" s="9">
        <v>1</v>
      </c>
    </row>
    <row r="15" spans="2:16" x14ac:dyDescent="0.15">
      <c r="B15" s="9" t="s">
        <v>214</v>
      </c>
      <c r="C15" s="9">
        <v>70</v>
      </c>
      <c r="D15" s="9">
        <v>90</v>
      </c>
      <c r="E15" s="9" t="s">
        <v>585</v>
      </c>
      <c r="F15" s="9" t="s">
        <v>594</v>
      </c>
      <c r="G15" s="9" t="s">
        <v>712</v>
      </c>
      <c r="H15" s="9" t="s">
        <v>711</v>
      </c>
      <c r="I15" s="9">
        <v>1</v>
      </c>
      <c r="J15" s="9">
        <v>1</v>
      </c>
      <c r="K15" s="9">
        <v>1</v>
      </c>
      <c r="L15" s="9">
        <v>1</v>
      </c>
      <c r="M15" s="9">
        <v>1</v>
      </c>
      <c r="N15" s="9">
        <v>1</v>
      </c>
      <c r="O15" s="9">
        <v>1</v>
      </c>
      <c r="P15" s="9">
        <v>1</v>
      </c>
    </row>
    <row r="16" spans="2:16" x14ac:dyDescent="0.15">
      <c r="B16" s="9" t="s">
        <v>513</v>
      </c>
      <c r="C16" s="9">
        <v>0</v>
      </c>
      <c r="D16" s="9">
        <v>0</v>
      </c>
      <c r="E16" s="9" t="s">
        <v>220</v>
      </c>
      <c r="F16" s="9" t="s">
        <v>593</v>
      </c>
      <c r="G16" s="9" t="s">
        <v>715</v>
      </c>
      <c r="H16" s="9" t="s">
        <v>679</v>
      </c>
      <c r="I16" s="9">
        <v>1</v>
      </c>
      <c r="J16" s="9">
        <v>1</v>
      </c>
      <c r="K16" s="9">
        <v>1</v>
      </c>
      <c r="L16" s="9">
        <v>1</v>
      </c>
      <c r="M16" s="9">
        <v>1</v>
      </c>
      <c r="N16" s="9">
        <v>1</v>
      </c>
      <c r="O16" s="9">
        <v>1</v>
      </c>
      <c r="P16" s="9">
        <v>1</v>
      </c>
    </row>
    <row r="17" spans="2:16" x14ac:dyDescent="0.15">
      <c r="B17" s="9" t="s">
        <v>727</v>
      </c>
      <c r="C17" s="9">
        <v>0</v>
      </c>
      <c r="D17" s="9">
        <v>0</v>
      </c>
      <c r="E17" s="9" t="s">
        <v>728</v>
      </c>
      <c r="F17" s="9" t="s">
        <v>729</v>
      </c>
      <c r="G17" s="9" t="s">
        <v>203</v>
      </c>
      <c r="H17" s="9" t="s">
        <v>730</v>
      </c>
      <c r="I17" s="9">
        <v>1</v>
      </c>
      <c r="J17" s="9">
        <v>1</v>
      </c>
      <c r="K17" s="9">
        <v>1</v>
      </c>
      <c r="L17" s="9">
        <v>1</v>
      </c>
      <c r="M17" s="9">
        <v>1</v>
      </c>
      <c r="N17" s="9">
        <v>1</v>
      </c>
      <c r="O17" s="9">
        <v>1</v>
      </c>
      <c r="P17" s="9">
        <v>1</v>
      </c>
    </row>
    <row r="18" spans="2:16" x14ac:dyDescent="0.15">
      <c r="B18" s="9"/>
      <c r="C18" s="9"/>
      <c r="D18" s="9"/>
      <c r="E18" s="9"/>
      <c r="F18" s="9"/>
      <c r="G18" s="9"/>
      <c r="H18" s="9"/>
      <c r="I18" s="9"/>
      <c r="J18" s="9"/>
      <c r="K18" s="9"/>
      <c r="L18" s="9"/>
      <c r="M18" s="9"/>
      <c r="N18" s="9"/>
      <c r="O18" s="9"/>
      <c r="P18" s="9"/>
    </row>
    <row r="19" spans="2:16" x14ac:dyDescent="0.15">
      <c r="B19" s="9"/>
      <c r="C19" s="9"/>
      <c r="D19" s="9"/>
      <c r="E19" s="9"/>
      <c r="F19" s="9"/>
      <c r="G19" s="9"/>
      <c r="H19" s="9"/>
      <c r="I19" s="9"/>
      <c r="J19" s="9"/>
      <c r="K19" s="9"/>
      <c r="L19" s="9"/>
      <c r="M19" s="9"/>
      <c r="N19" s="9"/>
      <c r="O19" s="9"/>
      <c r="P19" s="9"/>
    </row>
    <row r="20" spans="2:16" x14ac:dyDescent="0.15">
      <c r="B20" s="10"/>
      <c r="C20" s="10"/>
      <c r="D20" s="10"/>
      <c r="E20" s="10"/>
      <c r="F20" s="10"/>
      <c r="G20" s="10"/>
      <c r="H20" s="10"/>
      <c r="I20" s="10"/>
      <c r="J20" s="10"/>
      <c r="K20" s="10"/>
      <c r="L20" s="10"/>
      <c r="M20" s="10"/>
      <c r="N20" s="10"/>
      <c r="O20" s="10"/>
      <c r="P20" s="10"/>
    </row>
  </sheetData>
  <mergeCells count="5">
    <mergeCell ref="B2:B3"/>
    <mergeCell ref="C2:C3"/>
    <mergeCell ref="D2:D3"/>
    <mergeCell ref="E2:H3"/>
    <mergeCell ref="I2:P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4"/>
  <sheetViews>
    <sheetView workbookViewId="0">
      <selection activeCell="H4" sqref="H4"/>
    </sheetView>
  </sheetViews>
  <sheetFormatPr defaultColWidth="5.625" defaultRowHeight="11.25" x14ac:dyDescent="0.15"/>
  <cols>
    <col min="1" max="16384" width="5.625" style="1"/>
  </cols>
  <sheetData>
    <row r="1" spans="1:12" ht="11.25" customHeight="1" x14ac:dyDescent="0.15">
      <c r="A1" s="302" t="s">
        <v>182</v>
      </c>
      <c r="B1" s="303"/>
      <c r="C1" s="303"/>
      <c r="D1" s="303"/>
      <c r="E1" s="303"/>
      <c r="F1" s="303"/>
      <c r="G1" s="303"/>
      <c r="H1" s="303"/>
      <c r="I1" s="303"/>
      <c r="J1" s="303"/>
      <c r="K1" s="303"/>
      <c r="L1" s="303"/>
    </row>
    <row r="2" spans="1:12" ht="11.25" customHeight="1" x14ac:dyDescent="0.15">
      <c r="A2" s="302"/>
      <c r="B2" s="303"/>
      <c r="C2" s="303"/>
      <c r="D2" s="303"/>
      <c r="E2" s="303"/>
      <c r="F2" s="303"/>
      <c r="G2" s="303"/>
      <c r="H2" s="303"/>
      <c r="I2" s="303"/>
      <c r="J2" s="303"/>
      <c r="K2" s="303"/>
      <c r="L2" s="303"/>
    </row>
    <row r="3" spans="1:12" x14ac:dyDescent="0.15">
      <c r="A3" s="3"/>
      <c r="B3" s="7" t="s">
        <v>172</v>
      </c>
      <c r="C3" s="7" t="s">
        <v>173</v>
      </c>
      <c r="D3" s="7" t="s">
        <v>174</v>
      </c>
      <c r="E3" s="7" t="s">
        <v>175</v>
      </c>
      <c r="F3" s="7" t="s">
        <v>177</v>
      </c>
      <c r="G3" s="7" t="s">
        <v>176</v>
      </c>
      <c r="H3" s="7" t="s">
        <v>178</v>
      </c>
      <c r="I3" s="7" t="s">
        <v>179</v>
      </c>
      <c r="J3" s="7" t="s">
        <v>180</v>
      </c>
      <c r="K3" s="7" t="s">
        <v>181</v>
      </c>
      <c r="L3" s="3"/>
    </row>
    <row r="4" spans="1:12" x14ac:dyDescent="0.15">
      <c r="A4" s="3"/>
      <c r="B4" s="11">
        <v>1</v>
      </c>
      <c r="C4" s="8">
        <v>28</v>
      </c>
      <c r="D4" s="8">
        <v>0</v>
      </c>
      <c r="E4" s="8">
        <v>11</v>
      </c>
      <c r="F4" s="8">
        <v>3</v>
      </c>
      <c r="G4" s="8">
        <v>6</v>
      </c>
      <c r="H4" s="8">
        <v>5</v>
      </c>
      <c r="I4" s="8">
        <v>5</v>
      </c>
      <c r="J4" s="8">
        <v>0</v>
      </c>
      <c r="K4" s="12">
        <v>16</v>
      </c>
      <c r="L4" s="3"/>
    </row>
    <row r="5" spans="1:12" x14ac:dyDescent="0.15">
      <c r="A5" s="3"/>
      <c r="B5" s="13">
        <v>2</v>
      </c>
      <c r="C5" s="9">
        <v>31</v>
      </c>
      <c r="D5" s="9">
        <v>3</v>
      </c>
      <c r="E5" s="9">
        <v>13</v>
      </c>
      <c r="F5" s="9">
        <v>3</v>
      </c>
      <c r="G5" s="9">
        <v>7</v>
      </c>
      <c r="H5" s="9">
        <v>6</v>
      </c>
      <c r="I5" s="9">
        <v>5</v>
      </c>
      <c r="J5" s="9">
        <v>16</v>
      </c>
      <c r="K5" s="14">
        <v>34</v>
      </c>
      <c r="L5" s="3"/>
    </row>
    <row r="6" spans="1:12" x14ac:dyDescent="0.15">
      <c r="A6" s="3"/>
      <c r="B6" s="13">
        <v>3</v>
      </c>
      <c r="C6" s="9">
        <v>34</v>
      </c>
      <c r="D6" s="9">
        <v>7</v>
      </c>
      <c r="E6" s="9">
        <v>15</v>
      </c>
      <c r="F6" s="9">
        <v>4</v>
      </c>
      <c r="G6" s="9">
        <v>9</v>
      </c>
      <c r="H6" s="9">
        <v>7</v>
      </c>
      <c r="I6" s="9">
        <v>6</v>
      </c>
      <c r="J6" s="9">
        <v>50</v>
      </c>
      <c r="K6" s="14">
        <v>72</v>
      </c>
      <c r="L6" s="3"/>
    </row>
    <row r="7" spans="1:12" x14ac:dyDescent="0.15">
      <c r="A7" s="3"/>
      <c r="B7" s="13">
        <v>4</v>
      </c>
      <c r="C7" s="9">
        <v>37</v>
      </c>
      <c r="D7" s="9">
        <v>10</v>
      </c>
      <c r="E7" s="9">
        <v>17</v>
      </c>
      <c r="F7" s="9">
        <v>5</v>
      </c>
      <c r="G7" s="9">
        <v>10</v>
      </c>
      <c r="H7" s="9">
        <v>8</v>
      </c>
      <c r="I7" s="9">
        <v>6</v>
      </c>
      <c r="J7" s="9">
        <v>122</v>
      </c>
      <c r="K7" s="14">
        <v>153</v>
      </c>
      <c r="L7" s="3"/>
    </row>
    <row r="8" spans="1:12" x14ac:dyDescent="0.15">
      <c r="A8" s="3"/>
      <c r="B8" s="13">
        <v>5</v>
      </c>
      <c r="C8" s="9">
        <v>40</v>
      </c>
      <c r="D8" s="9">
        <v>14</v>
      </c>
      <c r="E8" s="9">
        <v>19</v>
      </c>
      <c r="F8" s="9">
        <v>6</v>
      </c>
      <c r="G8" s="9">
        <v>12</v>
      </c>
      <c r="H8" s="9">
        <v>10</v>
      </c>
      <c r="I8" s="9">
        <v>7</v>
      </c>
      <c r="J8" s="9">
        <v>275</v>
      </c>
      <c r="K8" s="14">
        <v>229</v>
      </c>
      <c r="L8" s="3"/>
    </row>
    <row r="9" spans="1:12" x14ac:dyDescent="0.15">
      <c r="A9" s="3"/>
      <c r="B9" s="13">
        <v>6</v>
      </c>
      <c r="C9" s="9">
        <v>47</v>
      </c>
      <c r="D9" s="9">
        <v>17</v>
      </c>
      <c r="E9" s="9">
        <v>21</v>
      </c>
      <c r="F9" s="9">
        <v>7</v>
      </c>
      <c r="G9" s="9">
        <v>13</v>
      </c>
      <c r="H9" s="9">
        <v>12</v>
      </c>
      <c r="I9" s="9">
        <v>7</v>
      </c>
      <c r="J9" s="9">
        <v>504</v>
      </c>
      <c r="K9" s="14">
        <v>343</v>
      </c>
      <c r="L9" s="3"/>
    </row>
    <row r="10" spans="1:12" x14ac:dyDescent="0.15">
      <c r="A10" s="3"/>
      <c r="B10" s="13">
        <v>7</v>
      </c>
      <c r="C10" s="9">
        <v>54</v>
      </c>
      <c r="D10" s="9">
        <v>20</v>
      </c>
      <c r="E10" s="9">
        <v>23</v>
      </c>
      <c r="F10" s="9">
        <v>8</v>
      </c>
      <c r="G10" s="9">
        <v>15</v>
      </c>
      <c r="H10" s="9">
        <v>14</v>
      </c>
      <c r="I10" s="9">
        <v>8</v>
      </c>
      <c r="J10" s="9">
        <v>847</v>
      </c>
      <c r="K10" s="14">
        <v>514</v>
      </c>
      <c r="L10" s="3"/>
    </row>
    <row r="11" spans="1:12" x14ac:dyDescent="0.15">
      <c r="A11" s="3"/>
      <c r="B11" s="13">
        <v>8</v>
      </c>
      <c r="C11" s="9">
        <v>61</v>
      </c>
      <c r="D11" s="9">
        <v>23</v>
      </c>
      <c r="E11" s="9">
        <v>25</v>
      </c>
      <c r="F11" s="9">
        <v>9</v>
      </c>
      <c r="G11" s="9">
        <v>16</v>
      </c>
      <c r="H11" s="9">
        <v>17</v>
      </c>
      <c r="I11" s="9">
        <v>8</v>
      </c>
      <c r="J11" s="9">
        <v>1361</v>
      </c>
      <c r="K11" s="14">
        <v>771</v>
      </c>
      <c r="L11" s="3"/>
    </row>
    <row r="12" spans="1:12" x14ac:dyDescent="0.15">
      <c r="A12" s="3"/>
      <c r="B12" s="13">
        <v>9</v>
      </c>
      <c r="C12" s="9">
        <v>68</v>
      </c>
      <c r="D12" s="9">
        <v>26</v>
      </c>
      <c r="E12" s="9">
        <v>27</v>
      </c>
      <c r="F12" s="9">
        <v>10</v>
      </c>
      <c r="G12" s="9">
        <v>18</v>
      </c>
      <c r="H12" s="9">
        <v>19</v>
      </c>
      <c r="I12" s="9">
        <v>9</v>
      </c>
      <c r="J12" s="9">
        <v>2132</v>
      </c>
      <c r="K12" s="14">
        <v>1156</v>
      </c>
      <c r="L12" s="3"/>
    </row>
    <row r="13" spans="1:12" x14ac:dyDescent="0.15">
      <c r="A13" s="3"/>
      <c r="B13" s="13">
        <v>10</v>
      </c>
      <c r="C13" s="9">
        <v>76</v>
      </c>
      <c r="D13" s="9">
        <v>29</v>
      </c>
      <c r="E13" s="9">
        <v>30</v>
      </c>
      <c r="F13" s="9">
        <v>11</v>
      </c>
      <c r="G13" s="9">
        <v>20</v>
      </c>
      <c r="H13" s="9">
        <v>22</v>
      </c>
      <c r="I13" s="9">
        <v>10</v>
      </c>
      <c r="J13" s="9">
        <v>3288</v>
      </c>
      <c r="K13" s="14">
        <v>1517</v>
      </c>
      <c r="L13" s="3"/>
    </row>
    <row r="14" spans="1:12" x14ac:dyDescent="0.15">
      <c r="A14" s="3"/>
      <c r="B14" s="13">
        <v>11</v>
      </c>
      <c r="C14" s="9">
        <v>84</v>
      </c>
      <c r="D14" s="9">
        <v>32</v>
      </c>
      <c r="E14" s="9">
        <v>32</v>
      </c>
      <c r="F14" s="9">
        <v>12</v>
      </c>
      <c r="G14" s="9">
        <v>23</v>
      </c>
      <c r="H14" s="9">
        <v>24</v>
      </c>
      <c r="I14" s="9">
        <v>10</v>
      </c>
      <c r="J14" s="9">
        <v>4805</v>
      </c>
      <c r="K14" s="14">
        <v>1991</v>
      </c>
      <c r="L14" s="3"/>
    </row>
    <row r="15" spans="1:12" x14ac:dyDescent="0.15">
      <c r="A15" s="3"/>
      <c r="B15" s="13">
        <v>12</v>
      </c>
      <c r="C15" s="9">
        <v>93</v>
      </c>
      <c r="D15" s="9">
        <v>35</v>
      </c>
      <c r="E15" s="9">
        <v>34</v>
      </c>
      <c r="F15" s="9">
        <v>13</v>
      </c>
      <c r="G15" s="9">
        <v>26</v>
      </c>
      <c r="H15" s="9">
        <v>26</v>
      </c>
      <c r="I15" s="9">
        <v>10</v>
      </c>
      <c r="J15" s="9">
        <v>6796</v>
      </c>
      <c r="K15" s="14">
        <v>2613</v>
      </c>
      <c r="L15" s="3"/>
    </row>
    <row r="16" spans="1:12" x14ac:dyDescent="0.15">
      <c r="A16" s="3"/>
      <c r="B16" s="13">
        <v>13</v>
      </c>
      <c r="C16" s="9">
        <v>102</v>
      </c>
      <c r="D16" s="9">
        <v>38</v>
      </c>
      <c r="E16" s="9">
        <v>37</v>
      </c>
      <c r="F16" s="9">
        <v>15</v>
      </c>
      <c r="G16" s="9">
        <v>29</v>
      </c>
      <c r="H16" s="9">
        <v>28</v>
      </c>
      <c r="I16" s="9">
        <v>11</v>
      </c>
      <c r="J16" s="9">
        <v>9409</v>
      </c>
      <c r="K16" s="14">
        <v>3429</v>
      </c>
      <c r="L16" s="3"/>
    </row>
    <row r="17" spans="1:12" x14ac:dyDescent="0.15">
      <c r="A17" s="3"/>
      <c r="B17" s="13">
        <v>14</v>
      </c>
      <c r="C17" s="9">
        <v>111</v>
      </c>
      <c r="D17" s="9">
        <v>41</v>
      </c>
      <c r="E17" s="9">
        <v>39</v>
      </c>
      <c r="F17" s="9">
        <v>16</v>
      </c>
      <c r="G17" s="9">
        <v>32</v>
      </c>
      <c r="H17" s="9">
        <v>30</v>
      </c>
      <c r="I17" s="9">
        <v>11</v>
      </c>
      <c r="J17" s="9">
        <v>12838</v>
      </c>
      <c r="K17" s="14">
        <v>4500</v>
      </c>
      <c r="L17" s="3"/>
    </row>
    <row r="18" spans="1:12" x14ac:dyDescent="0.15">
      <c r="A18" s="3"/>
      <c r="B18" s="13">
        <v>15</v>
      </c>
      <c r="C18" s="9">
        <v>120</v>
      </c>
      <c r="D18" s="9">
        <v>45</v>
      </c>
      <c r="E18" s="9">
        <v>42</v>
      </c>
      <c r="F18" s="9">
        <v>18</v>
      </c>
      <c r="G18" s="9">
        <v>35</v>
      </c>
      <c r="H18" s="9">
        <v>33</v>
      </c>
      <c r="I18" s="9">
        <v>12</v>
      </c>
      <c r="J18" s="9">
        <v>17338</v>
      </c>
      <c r="K18" s="14">
        <v>4921</v>
      </c>
      <c r="L18" s="3"/>
    </row>
    <row r="19" spans="1:12" x14ac:dyDescent="0.15">
      <c r="A19" s="3"/>
      <c r="B19" s="13">
        <v>16</v>
      </c>
      <c r="C19" s="9">
        <v>128</v>
      </c>
      <c r="D19" s="9">
        <v>49</v>
      </c>
      <c r="E19" s="9">
        <v>46</v>
      </c>
      <c r="F19" s="9">
        <v>19</v>
      </c>
      <c r="G19" s="9">
        <v>40</v>
      </c>
      <c r="H19" s="9">
        <v>36</v>
      </c>
      <c r="I19" s="9">
        <v>14</v>
      </c>
      <c r="J19" s="9">
        <v>22259</v>
      </c>
      <c r="K19" s="14">
        <v>5382</v>
      </c>
      <c r="L19" s="3"/>
    </row>
    <row r="20" spans="1:12" x14ac:dyDescent="0.15">
      <c r="A20" s="3"/>
      <c r="B20" s="13">
        <v>17</v>
      </c>
      <c r="C20" s="9">
        <v>136</v>
      </c>
      <c r="D20" s="9">
        <v>53</v>
      </c>
      <c r="E20" s="9">
        <v>51</v>
      </c>
      <c r="F20" s="9">
        <v>20</v>
      </c>
      <c r="G20" s="9">
        <v>45</v>
      </c>
      <c r="H20" s="9">
        <v>40</v>
      </c>
      <c r="I20" s="9">
        <v>16</v>
      </c>
      <c r="J20" s="9">
        <v>27641</v>
      </c>
      <c r="K20" s="14">
        <v>5886</v>
      </c>
      <c r="L20" s="3"/>
    </row>
    <row r="21" spans="1:12" x14ac:dyDescent="0.15">
      <c r="A21" s="3"/>
      <c r="B21" s="13">
        <v>18</v>
      </c>
      <c r="C21" s="9">
        <v>144</v>
      </c>
      <c r="D21" s="9">
        <v>57</v>
      </c>
      <c r="E21" s="9">
        <v>55</v>
      </c>
      <c r="F21" s="9">
        <v>22</v>
      </c>
      <c r="G21" s="9">
        <v>51</v>
      </c>
      <c r="H21" s="9">
        <v>44</v>
      </c>
      <c r="I21" s="9">
        <v>19</v>
      </c>
      <c r="J21" s="9">
        <v>33527</v>
      </c>
      <c r="K21" s="14">
        <v>6437</v>
      </c>
      <c r="L21" s="3"/>
    </row>
    <row r="22" spans="1:12" x14ac:dyDescent="0.15">
      <c r="A22" s="3"/>
      <c r="B22" s="13">
        <v>19</v>
      </c>
      <c r="C22" s="9">
        <v>152</v>
      </c>
      <c r="D22" s="9">
        <v>61</v>
      </c>
      <c r="E22" s="9">
        <v>60</v>
      </c>
      <c r="F22" s="9">
        <v>23</v>
      </c>
      <c r="G22" s="9">
        <v>56</v>
      </c>
      <c r="H22" s="9">
        <v>48</v>
      </c>
      <c r="I22" s="9">
        <v>21</v>
      </c>
      <c r="J22" s="9">
        <v>39964</v>
      </c>
      <c r="K22" s="14">
        <v>7040</v>
      </c>
      <c r="L22" s="3"/>
    </row>
    <row r="23" spans="1:12" x14ac:dyDescent="0.15">
      <c r="A23" s="3"/>
      <c r="B23" s="13">
        <v>20</v>
      </c>
      <c r="C23" s="9">
        <v>160</v>
      </c>
      <c r="D23" s="9">
        <v>65</v>
      </c>
      <c r="E23" s="9">
        <v>65</v>
      </c>
      <c r="F23" s="9">
        <v>25</v>
      </c>
      <c r="G23" s="9">
        <v>62</v>
      </c>
      <c r="H23" s="9">
        <v>52</v>
      </c>
      <c r="I23" s="9">
        <v>24</v>
      </c>
      <c r="J23" s="9">
        <v>47004</v>
      </c>
      <c r="K23" s="14">
        <v>7920</v>
      </c>
      <c r="L23" s="3"/>
    </row>
    <row r="24" spans="1:12" x14ac:dyDescent="0.15">
      <c r="A24" s="3"/>
      <c r="B24" s="13">
        <v>21</v>
      </c>
      <c r="C24" s="9">
        <v>166</v>
      </c>
      <c r="D24" s="9">
        <v>68</v>
      </c>
      <c r="E24" s="9">
        <v>68</v>
      </c>
      <c r="F24" s="9">
        <v>26</v>
      </c>
      <c r="G24" s="9">
        <v>63</v>
      </c>
      <c r="H24" s="9">
        <v>54</v>
      </c>
      <c r="I24" s="9">
        <v>24</v>
      </c>
      <c r="J24" s="9">
        <v>54924</v>
      </c>
      <c r="K24" s="14">
        <v>8910</v>
      </c>
      <c r="L24" s="3"/>
    </row>
    <row r="25" spans="1:12" x14ac:dyDescent="0.15">
      <c r="A25" s="3"/>
      <c r="B25" s="13">
        <v>22</v>
      </c>
      <c r="C25" s="9">
        <v>172</v>
      </c>
      <c r="D25" s="9">
        <v>71</v>
      </c>
      <c r="E25" s="9">
        <v>72</v>
      </c>
      <c r="F25" s="9">
        <v>27</v>
      </c>
      <c r="G25" s="9">
        <v>64</v>
      </c>
      <c r="H25" s="9">
        <v>57</v>
      </c>
      <c r="I25" s="9">
        <v>25</v>
      </c>
      <c r="J25" s="9">
        <v>63834</v>
      </c>
      <c r="K25" s="14">
        <v>10023</v>
      </c>
      <c r="L25" s="3"/>
    </row>
    <row r="26" spans="1:12" x14ac:dyDescent="0.15">
      <c r="A26" s="3"/>
      <c r="B26" s="13">
        <v>23</v>
      </c>
      <c r="C26" s="9">
        <v>178</v>
      </c>
      <c r="D26" s="9">
        <v>74</v>
      </c>
      <c r="E26" s="9">
        <v>75</v>
      </c>
      <c r="F26" s="9">
        <v>28</v>
      </c>
      <c r="G26" s="9">
        <v>65</v>
      </c>
      <c r="H26" s="9">
        <v>59</v>
      </c>
      <c r="I26" s="9">
        <v>25</v>
      </c>
      <c r="J26" s="9">
        <v>73857</v>
      </c>
      <c r="K26" s="14">
        <v>11275</v>
      </c>
      <c r="L26" s="3"/>
    </row>
    <row r="27" spans="1:12" x14ac:dyDescent="0.15">
      <c r="A27" s="3"/>
      <c r="B27" s="13">
        <v>24</v>
      </c>
      <c r="C27" s="9">
        <v>184</v>
      </c>
      <c r="D27" s="9">
        <v>77</v>
      </c>
      <c r="E27" s="9">
        <v>79</v>
      </c>
      <c r="F27" s="9">
        <v>29</v>
      </c>
      <c r="G27" s="9">
        <v>67</v>
      </c>
      <c r="H27" s="9">
        <v>62</v>
      </c>
      <c r="I27" s="9">
        <v>26</v>
      </c>
      <c r="J27" s="9">
        <v>85132</v>
      </c>
      <c r="K27" s="14">
        <v>12684</v>
      </c>
      <c r="L27" s="3"/>
    </row>
    <row r="28" spans="1:12" x14ac:dyDescent="0.15">
      <c r="A28" s="3"/>
      <c r="B28" s="13">
        <v>25</v>
      </c>
      <c r="C28" s="9">
        <v>190</v>
      </c>
      <c r="D28" s="9">
        <v>80</v>
      </c>
      <c r="E28" s="9">
        <v>82</v>
      </c>
      <c r="F28" s="9">
        <v>31</v>
      </c>
      <c r="G28" s="9">
        <v>68</v>
      </c>
      <c r="H28" s="9">
        <v>65</v>
      </c>
      <c r="I28" s="9">
        <v>27</v>
      </c>
      <c r="J28" s="9">
        <v>97816</v>
      </c>
      <c r="K28" s="14">
        <v>14269</v>
      </c>
      <c r="L28" s="3"/>
    </row>
    <row r="29" spans="1:12" x14ac:dyDescent="0.15">
      <c r="A29" s="3"/>
      <c r="B29" s="13">
        <v>26</v>
      </c>
      <c r="C29" s="9">
        <v>196</v>
      </c>
      <c r="D29" s="9">
        <v>83</v>
      </c>
      <c r="E29" s="9">
        <v>86</v>
      </c>
      <c r="F29" s="9">
        <v>32</v>
      </c>
      <c r="G29" s="9">
        <v>69</v>
      </c>
      <c r="H29" s="9">
        <v>67</v>
      </c>
      <c r="I29" s="9">
        <v>27</v>
      </c>
      <c r="J29" s="9">
        <v>112085</v>
      </c>
      <c r="K29" s="14">
        <v>16052</v>
      </c>
      <c r="L29" s="3"/>
    </row>
    <row r="30" spans="1:12" x14ac:dyDescent="0.15">
      <c r="A30" s="3"/>
      <c r="B30" s="13">
        <v>27</v>
      </c>
      <c r="C30" s="9">
        <v>202</v>
      </c>
      <c r="D30" s="9">
        <v>86</v>
      </c>
      <c r="E30" s="9">
        <v>89</v>
      </c>
      <c r="F30" s="9">
        <v>33</v>
      </c>
      <c r="G30" s="9">
        <v>71</v>
      </c>
      <c r="H30" s="9">
        <v>70</v>
      </c>
      <c r="I30" s="9">
        <v>28</v>
      </c>
      <c r="J30" s="9">
        <v>128137</v>
      </c>
      <c r="K30" s="14">
        <v>18058</v>
      </c>
      <c r="L30" s="3"/>
    </row>
    <row r="31" spans="1:12" x14ac:dyDescent="0.15">
      <c r="A31" s="3"/>
      <c r="B31" s="13">
        <v>28</v>
      </c>
      <c r="C31" s="9">
        <v>208</v>
      </c>
      <c r="D31" s="9">
        <v>89</v>
      </c>
      <c r="E31" s="9">
        <v>93</v>
      </c>
      <c r="F31" s="9">
        <v>34</v>
      </c>
      <c r="G31" s="9">
        <v>72</v>
      </c>
      <c r="H31" s="9">
        <v>72</v>
      </c>
      <c r="I31" s="9">
        <v>28</v>
      </c>
      <c r="J31" s="9">
        <v>146195</v>
      </c>
      <c r="K31" s="14">
        <v>20315</v>
      </c>
      <c r="L31" s="3"/>
    </row>
    <row r="32" spans="1:12" x14ac:dyDescent="0.15">
      <c r="A32" s="3"/>
      <c r="B32" s="13">
        <v>29</v>
      </c>
      <c r="C32" s="9">
        <v>214</v>
      </c>
      <c r="D32" s="9">
        <v>92</v>
      </c>
      <c r="E32" s="9">
        <v>96</v>
      </c>
      <c r="F32" s="9">
        <v>35</v>
      </c>
      <c r="G32" s="9">
        <v>73</v>
      </c>
      <c r="H32" s="9">
        <v>75</v>
      </c>
      <c r="I32" s="9">
        <v>29</v>
      </c>
      <c r="J32" s="9">
        <v>166510</v>
      </c>
      <c r="K32" s="14">
        <v>22854</v>
      </c>
      <c r="L32" s="3"/>
    </row>
    <row r="33" spans="1:12" x14ac:dyDescent="0.15">
      <c r="A33" s="3"/>
      <c r="B33" s="15">
        <v>30</v>
      </c>
      <c r="C33" s="10">
        <v>220</v>
      </c>
      <c r="D33" s="10">
        <v>95</v>
      </c>
      <c r="E33" s="10">
        <v>100</v>
      </c>
      <c r="F33" s="10">
        <v>37</v>
      </c>
      <c r="G33" s="10">
        <v>75</v>
      </c>
      <c r="H33" s="10">
        <v>78</v>
      </c>
      <c r="I33" s="10">
        <v>30</v>
      </c>
      <c r="J33" s="10">
        <v>189364</v>
      </c>
      <c r="K33" s="16">
        <v>25710</v>
      </c>
      <c r="L33" s="3"/>
    </row>
    <row r="34" spans="1:12" x14ac:dyDescent="0.15">
      <c r="A34" s="3"/>
      <c r="B34" s="5" t="s">
        <v>172</v>
      </c>
      <c r="C34" s="5" t="s">
        <v>173</v>
      </c>
      <c r="D34" s="5" t="s">
        <v>174</v>
      </c>
      <c r="E34" s="5" t="s">
        <v>175</v>
      </c>
      <c r="F34" s="5" t="s">
        <v>177</v>
      </c>
      <c r="G34" s="5" t="s">
        <v>176</v>
      </c>
      <c r="H34" s="5" t="s">
        <v>178</v>
      </c>
      <c r="I34" s="5" t="s">
        <v>179</v>
      </c>
      <c r="J34" s="5" t="s">
        <v>180</v>
      </c>
      <c r="K34" s="5" t="s">
        <v>181</v>
      </c>
      <c r="L34" s="3"/>
    </row>
  </sheetData>
  <mergeCells count="1">
    <mergeCell ref="A1:L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55</vt:i4>
      </vt:variant>
    </vt:vector>
  </HeadingPairs>
  <TitlesOfParts>
    <vt:vector size="75" baseType="lpstr">
      <vt:lpstr>計算</vt:lpstr>
      <vt:lpstr>基本ステータス</vt:lpstr>
      <vt:lpstr>経験値管理表</vt:lpstr>
      <vt:lpstr>補助シート</vt:lpstr>
      <vt:lpstr>装備</vt:lpstr>
      <vt:lpstr>耐性</vt:lpstr>
      <vt:lpstr>敵特技</vt:lpstr>
      <vt:lpstr>味方特技</vt:lpstr>
      <vt:lpstr>主人公</vt:lpstr>
      <vt:lpstr>ハッサン</vt:lpstr>
      <vt:lpstr>ミレーユ</vt:lpstr>
      <vt:lpstr>バーバラ</vt:lpstr>
      <vt:lpstr>チャモロ</vt:lpstr>
      <vt:lpstr>アモス</vt:lpstr>
      <vt:lpstr>テリー</vt:lpstr>
      <vt:lpstr>ドランゴ</vt:lpstr>
      <vt:lpstr>ボス</vt:lpstr>
      <vt:lpstr>キャラリスト</vt:lpstr>
      <vt:lpstr>職業</vt:lpstr>
      <vt:lpstr>初めにお読み下さい</vt:lpstr>
      <vt:lpstr>○×</vt:lpstr>
      <vt:lpstr>ID</vt:lpstr>
      <vt:lpstr>Noリスト</vt:lpstr>
      <vt:lpstr>アモスExp</vt:lpstr>
      <vt:lpstr>キャラデータ</vt:lpstr>
      <vt:lpstr>キャラデータカラム</vt:lpstr>
      <vt:lpstr>キャラリスト</vt:lpstr>
      <vt:lpstr>チャモロExp</vt:lpstr>
      <vt:lpstr>テリーExp</vt:lpstr>
      <vt:lpstr>ドランゴExp</vt:lpstr>
      <vt:lpstr>バーバラExp</vt:lpstr>
      <vt:lpstr>ハッサンExp</vt:lpstr>
      <vt:lpstr>バリア</vt:lpstr>
      <vt:lpstr>ボス</vt:lpstr>
      <vt:lpstr>ボスリスト</vt:lpstr>
      <vt:lpstr>ミレーユExp</vt:lpstr>
      <vt:lpstr>鎧</vt:lpstr>
      <vt:lpstr>鎧リスト</vt:lpstr>
      <vt:lpstr>兜</vt:lpstr>
      <vt:lpstr>兜リスト</vt:lpstr>
      <vt:lpstr>貫通力</vt:lpstr>
      <vt:lpstr>貫通力段階</vt:lpstr>
      <vt:lpstr>主人公Exp</vt:lpstr>
      <vt:lpstr>主人公HP</vt:lpstr>
      <vt:lpstr>守備</vt:lpstr>
      <vt:lpstr>盾リスト</vt:lpstr>
      <vt:lpstr>職業</vt:lpstr>
      <vt:lpstr>職業リスト</vt:lpstr>
      <vt:lpstr>戦闘IDリスト</vt:lpstr>
      <vt:lpstr>装飾品A</vt:lpstr>
      <vt:lpstr>装飾品Aリスト</vt:lpstr>
      <vt:lpstr>装飾品B</vt:lpstr>
      <vt:lpstr>装飾品Bリスト</vt:lpstr>
      <vt:lpstr>装飾品C</vt:lpstr>
      <vt:lpstr>装飾品Cリスト</vt:lpstr>
      <vt:lpstr>耐性</vt:lpstr>
      <vt:lpstr>耐性装備リスト</vt:lpstr>
      <vt:lpstr>隊列</vt:lpstr>
      <vt:lpstr>隊列2</vt:lpstr>
      <vt:lpstr>敵ステータス</vt:lpstr>
      <vt:lpstr>敵リスト</vt:lpstr>
      <vt:lpstr>敵技</vt:lpstr>
      <vt:lpstr>敵技リスト</vt:lpstr>
      <vt:lpstr>敵耐性</vt:lpstr>
      <vt:lpstr>敵耐性カラム</vt:lpstr>
      <vt:lpstr>敵隊列</vt:lpstr>
      <vt:lpstr>武器</vt:lpstr>
      <vt:lpstr>武器リスト</vt:lpstr>
      <vt:lpstr>防御</vt:lpstr>
      <vt:lpstr>味方ステータス</vt:lpstr>
      <vt:lpstr>味方技</vt:lpstr>
      <vt:lpstr>味方技リスト</vt:lpstr>
      <vt:lpstr>味方耐性</vt:lpstr>
      <vt:lpstr>味方隊列</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VAIO</cp:lastModifiedBy>
  <cp:lastPrinted>2011-12-15T17:30:55Z</cp:lastPrinted>
  <dcterms:created xsi:type="dcterms:W3CDTF">2011-11-19T10:45:15Z</dcterms:created>
  <dcterms:modified xsi:type="dcterms:W3CDTF">2011-12-16T18:28:56Z</dcterms:modified>
</cp:coreProperties>
</file>